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870" windowWidth="10125" windowHeight="5835" tabRatio="598" firstSheet="28" activeTab="36"/>
  </bookViews>
  <sheets>
    <sheet name="В13" sheetId="1" r:id="rId1"/>
    <sheet name="В52А" sheetId="2" r:id="rId2"/>
    <sheet name="Г28Б" sheetId="3" r:id="rId3"/>
    <sheet name="Лен29А" sheetId="4" r:id="rId4"/>
    <sheet name="Лен42" sheetId="5" r:id="rId5"/>
    <sheet name="Св.пр58А" sheetId="6" r:id="rId6"/>
    <sheet name="Мон31" sheetId="7" r:id="rId7"/>
    <sheet name="Мон33" sheetId="8" r:id="rId8"/>
    <sheet name="Мон35" sheetId="9" r:id="rId9"/>
    <sheet name="Цв.59А" sheetId="10" r:id="rId10"/>
    <sheet name="энг26А" sheetId="11" r:id="rId11"/>
    <sheet name="Зах3В" sheetId="12" r:id="rId12"/>
    <sheet name="К.пр60А" sheetId="13" r:id="rId13"/>
    <sheet name="К.пр62А" sheetId="14" r:id="rId14"/>
    <sheet name="К.пр62Б" sheetId="15" r:id="rId15"/>
    <sheet name="К.пр.66А" sheetId="16" r:id="rId16"/>
    <sheet name="К.пр66Б" sheetId="17" r:id="rId17"/>
    <sheet name="К.пр66В" sheetId="18" r:id="rId18"/>
    <sheet name="К.пр76" sheetId="19" r:id="rId19"/>
    <sheet name="К.пр76А" sheetId="20" r:id="rId20"/>
    <sheet name="К.пр78Б" sheetId="21" r:id="rId21"/>
    <sheet name="К.пр.82А" sheetId="22" r:id="rId22"/>
    <sheet name="250лет10" sheetId="23" r:id="rId23"/>
    <sheet name="40лет29" sheetId="24" r:id="rId24"/>
    <sheet name="40лет29А" sheetId="25" r:id="rId25"/>
    <sheet name="40лет29Б" sheetId="26" r:id="rId26"/>
    <sheet name="40лет29В" sheetId="27" r:id="rId27"/>
    <sheet name="40лет29Д" sheetId="28" r:id="rId28"/>
    <sheet name="40летПоб31" sheetId="29" r:id="rId29"/>
    <sheet name="40лет31Б" sheetId="30" r:id="rId30"/>
    <sheet name="40лет31В" sheetId="31" r:id="rId31"/>
    <sheet name="40лет33" sheetId="32" r:id="rId32"/>
    <sheet name="40лет33А" sheetId="33" r:id="rId33"/>
    <sheet name="40лет33Б" sheetId="34" r:id="rId34"/>
    <sheet name="40летПоб35" sheetId="35" r:id="rId35"/>
    <sheet name="40лет35А" sheetId="36" r:id="rId36"/>
    <sheet name="Челябинск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/>
  <calcPr fullCalcOnLoad="1"/>
</workbook>
</file>

<file path=xl/sharedStrings.xml><?xml version="1.0" encoding="utf-8"?>
<sst xmlns="http://schemas.openxmlformats.org/spreadsheetml/2006/main" count="1908" uniqueCount="84">
  <si>
    <t>Количество квартир</t>
  </si>
  <si>
    <t>Количество прописанных человек</t>
  </si>
  <si>
    <t xml:space="preserve">                                             Поступление и использование денежных средств</t>
  </si>
  <si>
    <t>Наименование статьи</t>
  </si>
  <si>
    <t>Выполнено работ,предоставлено услуг   (руб)</t>
  </si>
  <si>
    <t>население</t>
  </si>
  <si>
    <t>собственики нежилых помещений</t>
  </si>
  <si>
    <t>Итого</t>
  </si>
  <si>
    <t>Техническое обслуживание и ремонт(СиР)</t>
  </si>
  <si>
    <t>Водоснабжение водоотведение</t>
  </si>
  <si>
    <t>Теплоснабжение</t>
  </si>
  <si>
    <t>Электроснабжение</t>
  </si>
  <si>
    <t xml:space="preserve">Итого </t>
  </si>
  <si>
    <t>Содержание и ремонт лифта</t>
  </si>
  <si>
    <t>Вывоз ТБО</t>
  </si>
  <si>
    <t>Содержание мусоропровода</t>
  </si>
  <si>
    <t>Освещение МОП</t>
  </si>
  <si>
    <t>Уборки придомовой территории (УПДТ)</t>
  </si>
  <si>
    <t>Услуги АВС</t>
  </si>
  <si>
    <t>Уборка мест общего пользования (УМОП)</t>
  </si>
  <si>
    <t>Площадь квартир, кв.м.</t>
  </si>
  <si>
    <t>Площадь нежилых помещений кв.м.</t>
  </si>
  <si>
    <t>Площадь дома, кв.м.</t>
  </si>
  <si>
    <t>Площадь мест общего пользования, кв.м.</t>
  </si>
  <si>
    <t>Отчет по выполнению договора управления  за 2012 год</t>
  </si>
  <si>
    <t>Обслуживание и поверка ОПУ</t>
  </si>
  <si>
    <t>Утилизация ТБО</t>
  </si>
  <si>
    <t>Консъерж</t>
  </si>
  <si>
    <t>Задолженность на 01.01.2013</t>
  </si>
  <si>
    <t>Отчет по выполнению договора управления  за 2013 год</t>
  </si>
  <si>
    <t>Начислено за 2013г.</t>
  </si>
  <si>
    <t>задолженность на 01.01.2014</t>
  </si>
  <si>
    <t>Отчет по выполнению договора управления  за 2013 год (дом ушел в 2011г.но долги остались)</t>
  </si>
  <si>
    <t>Отчет по выполнению договора управления  за 2013 год (дом ушел в 2011г.но до сих пор идет оплата)</t>
  </si>
  <si>
    <t>Текущий ремонт</t>
  </si>
  <si>
    <t>Кровля, чердак, входные группы</t>
  </si>
  <si>
    <t>Лестница, крыльцо, перила</t>
  </si>
  <si>
    <t>Обустройство придомовой территории</t>
  </si>
  <si>
    <t>Полы в местах общего пользования</t>
  </si>
  <si>
    <t>Двери подъездные, тамбурные</t>
  </si>
  <si>
    <t>Стены, перегородки, межпанельные швы</t>
  </si>
  <si>
    <t>Фасад здания</t>
  </si>
  <si>
    <t>Окна подъездные</t>
  </si>
  <si>
    <t>Места общего пользования, коридоры и др.</t>
  </si>
  <si>
    <t>Итого УУ, банк</t>
  </si>
  <si>
    <t>В том числе:</t>
  </si>
  <si>
    <t>Адрес: г.Челябинск, ул.Воровского, 13</t>
  </si>
  <si>
    <t>Адрес: г.Челябинск, ул.Воровского, 52А</t>
  </si>
  <si>
    <t>Адрес: г.Челябинск, по.Ленина, 29А</t>
  </si>
  <si>
    <t>Адрес: г.Челябинск, ул.Гагарина, 28Б</t>
  </si>
  <si>
    <t>Адрес: г.Челябинск, пр.Ленина, 42</t>
  </si>
  <si>
    <t>Адрес: г.Челябинск, Свердловский проспект, 58А</t>
  </si>
  <si>
    <t>Адрес: г.Челябинск</t>
  </si>
  <si>
    <t>Адрес: г.Челябинск, ул.40 лет Победы,35А</t>
  </si>
  <si>
    <t>Адрес: г.Челябинск, ул.40 лет Победы,35</t>
  </si>
  <si>
    <t>Адрес: г.Челябинск, ул.40 лет Победы,33Б</t>
  </si>
  <si>
    <t>Адрес: г.Челябинск, ул.40 лет Победы,33А</t>
  </si>
  <si>
    <t>Адрес: г.Челябинск, ул.40 лет Победы,33</t>
  </si>
  <si>
    <t>Адрес: г.Челябинск, ул.40 лет Победы,31В</t>
  </si>
  <si>
    <t>Адрес: г.Челябинск, ул.40 лет Победы,31Б</t>
  </si>
  <si>
    <t>Адрес: г.Челябинск, ул.40 лет Победы,31</t>
  </si>
  <si>
    <t>Адрес: г.Челябинск, ул.40 лет Победы,29Д</t>
  </si>
  <si>
    <t>Адрес: г.Челябинск, ул.40 лет Победы,29В</t>
  </si>
  <si>
    <t>Адреся: г.Челябинск, ул.40 лет Победы,29Б</t>
  </si>
  <si>
    <t>Адрес: г.Челябинск, ул.40 лет Победы,29А</t>
  </si>
  <si>
    <t>Адрес: г.Челябинск, ул.40 лет Победы,29</t>
  </si>
  <si>
    <t>Адрес : г.Челябинск, ул.250 лет Челябинску, 10</t>
  </si>
  <si>
    <t>Адрес: г.Челябинск, Комсомольский проспект, 82А</t>
  </si>
  <si>
    <t>Адрес: г.Челябинск, Комсомольский проспект, 78Б</t>
  </si>
  <si>
    <t>Адрес: г.Челябинск, Комсомольский проспект, 76А</t>
  </si>
  <si>
    <t>Адрес: г.Челябинск, Комсомольский проспект, 76</t>
  </si>
  <si>
    <t>Адрес: г.Челябинск, Комсомольский проспект, 66В</t>
  </si>
  <si>
    <t>Адрес: г.Челябинск, Комсомольский проспект, 66Б</t>
  </si>
  <si>
    <t>Адрес: г.Челябинск, Комсомольский проспект, 66А</t>
  </si>
  <si>
    <t>Адрес: г.Челябинск, Комсомольский проспект, 62Б</t>
  </si>
  <si>
    <t>Адреся: г.Челябинск, Комсомольский проспект, 62А</t>
  </si>
  <si>
    <t>Адрес: г.Челябинск, Комсомольский проспект, 60А</t>
  </si>
  <si>
    <t>Адрес: г.Челябинск, ул.Захаренко, 3В</t>
  </si>
  <si>
    <t>Адрес: г.Челябинск, Энгельса, 26А</t>
  </si>
  <si>
    <t>Адрес: г.Челябинск, ул.Цвиллинга, 59А</t>
  </si>
  <si>
    <t>Адрес: г.Челябинск, ул.Монакова, 35</t>
  </si>
  <si>
    <t>Адрес: г.Челябинск, ул.Монакова, 33</t>
  </si>
  <si>
    <t>Адрес: г.Челябинск, ул.Монакова, 31</t>
  </si>
  <si>
    <t>Оплачено за 2013г.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</si>
</sst>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  <numFmt numFmtId="173" formatCode="0.0"/>
    <numFmt numFmtId="174" formatCode="#,##0.0"/>
    <numFmt numFmtId="175" formatCode="#,##0.000"/>
    <numFmt numFmtId="176" formatCode="#,##0.0000"/>
    <numFmt numFmtId="177" formatCode="#,##0.00;[Red]\-#,##0.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vertical="center" wrapText="1"/>
    </xf>
    <xf numFmtId="3" fontId="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left" indent="3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19" borderId="0" xfId="0" applyFont="1" applyFill="1" applyBorder="1" applyAlignment="1">
      <alignment wrapText="1"/>
    </xf>
    <xf numFmtId="0" fontId="0" fillId="19" borderId="0" xfId="0" applyFill="1" applyAlignment="1">
      <alignment/>
    </xf>
    <xf numFmtId="3" fontId="6" fillId="18" borderId="0" xfId="0" applyNumberFormat="1" applyFont="1" applyFill="1" applyBorder="1" applyAlignment="1">
      <alignment horizontal="right"/>
    </xf>
    <xf numFmtId="0" fontId="12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13" fillId="0" borderId="0" xfId="0" applyFont="1" applyAlignment="1">
      <alignment horizontal="centerContinuous" wrapText="1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3" fontId="17" fillId="33" borderId="10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15" fillId="19" borderId="0" xfId="0" applyFont="1" applyFill="1" applyBorder="1" applyAlignment="1">
      <alignment wrapText="1"/>
    </xf>
    <xf numFmtId="0" fontId="9" fillId="19" borderId="0" xfId="0" applyFont="1" applyFill="1" applyAlignment="1">
      <alignment/>
    </xf>
    <xf numFmtId="0" fontId="10" fillId="18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indent="3"/>
    </xf>
    <xf numFmtId="3" fontId="11" fillId="0" borderId="0" xfId="0" applyNumberFormat="1" applyFont="1" applyBorder="1" applyAlignment="1">
      <alignment horizontal="right"/>
    </xf>
    <xf numFmtId="0" fontId="10" fillId="18" borderId="0" xfId="0" applyFont="1" applyFill="1" applyAlignment="1">
      <alignment/>
    </xf>
    <xf numFmtId="3" fontId="17" fillId="18" borderId="0" xfId="0" applyNumberFormat="1" applyFont="1" applyFill="1" applyBorder="1" applyAlignment="1">
      <alignment horizontal="right"/>
    </xf>
    <xf numFmtId="3" fontId="11" fillId="19" borderId="10" xfId="0" applyNumberFormat="1" applyFont="1" applyFill="1" applyBorder="1" applyAlignment="1">
      <alignment/>
    </xf>
    <xf numFmtId="3" fontId="11" fillId="19" borderId="10" xfId="0" applyNumberFormat="1" applyFont="1" applyFill="1" applyBorder="1" applyAlignment="1">
      <alignment/>
    </xf>
    <xf numFmtId="3" fontId="11" fillId="19" borderId="10" xfId="0" applyNumberFormat="1" applyFont="1" applyFill="1" applyBorder="1" applyAlignment="1">
      <alignment horizontal="right"/>
    </xf>
    <xf numFmtId="3" fontId="17" fillId="8" borderId="10" xfId="0" applyNumberFormat="1" applyFont="1" applyFill="1" applyBorder="1" applyAlignment="1">
      <alignment horizontal="right"/>
    </xf>
    <xf numFmtId="0" fontId="11" fillId="12" borderId="10" xfId="0" applyFont="1" applyFill="1" applyBorder="1" applyAlignment="1">
      <alignment horizontal="center" vertical="center" textRotation="90"/>
    </xf>
    <xf numFmtId="3" fontId="11" fillId="12" borderId="10" xfId="0" applyNumberFormat="1" applyFont="1" applyFill="1" applyBorder="1" applyAlignment="1">
      <alignment horizontal="right"/>
    </xf>
    <xf numFmtId="3" fontId="17" fillId="12" borderId="10" xfId="0" applyNumberFormat="1" applyFont="1" applyFill="1" applyBorder="1" applyAlignment="1">
      <alignment horizontal="right"/>
    </xf>
    <xf numFmtId="3" fontId="11" fillId="12" borderId="10" xfId="0" applyNumberFormat="1" applyFont="1" applyFill="1" applyBorder="1" applyAlignment="1">
      <alignment/>
    </xf>
    <xf numFmtId="3" fontId="17" fillId="12" borderId="10" xfId="0" applyNumberFormat="1" applyFont="1" applyFill="1" applyBorder="1" applyAlignment="1">
      <alignment/>
    </xf>
    <xf numFmtId="3" fontId="17" fillId="19" borderId="10" xfId="0" applyNumberFormat="1" applyFont="1" applyFill="1" applyBorder="1" applyAlignment="1">
      <alignment horizontal="right"/>
    </xf>
    <xf numFmtId="3" fontId="17" fillId="13" borderId="10" xfId="0" applyNumberFormat="1" applyFont="1" applyFill="1" applyBorder="1" applyAlignment="1">
      <alignment horizontal="right"/>
    </xf>
    <xf numFmtId="3" fontId="11" fillId="7" borderId="10" xfId="0" applyNumberFormat="1" applyFont="1" applyFill="1" applyBorder="1" applyAlignment="1">
      <alignment horizontal="right"/>
    </xf>
    <xf numFmtId="3" fontId="17" fillId="7" borderId="10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/>
    </xf>
    <xf numFmtId="3" fontId="11" fillId="8" borderId="10" xfId="0" applyNumberFormat="1" applyFont="1" applyFill="1" applyBorder="1" applyAlignment="1">
      <alignment/>
    </xf>
    <xf numFmtId="3" fontId="9" fillId="13" borderId="10" xfId="0" applyNumberFormat="1" applyFont="1" applyFill="1" applyBorder="1" applyAlignment="1">
      <alignment horizontal="right"/>
    </xf>
    <xf numFmtId="3" fontId="9" fillId="19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Continuous" vertical="center" wrapText="1"/>
    </xf>
    <xf numFmtId="0" fontId="1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15" fillId="34" borderId="0" xfId="0" applyFont="1" applyFill="1" applyBorder="1" applyAlignment="1">
      <alignment wrapText="1"/>
    </xf>
    <xf numFmtId="3" fontId="11" fillId="34" borderId="0" xfId="0" applyNumberFormat="1" applyFont="1" applyFill="1" applyBorder="1" applyAlignment="1">
      <alignment horizontal="right"/>
    </xf>
    <xf numFmtId="3" fontId="11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wrapText="1"/>
    </xf>
    <xf numFmtId="3" fontId="17" fillId="34" borderId="0" xfId="0" applyNumberFormat="1" applyFont="1" applyFill="1" applyBorder="1" applyAlignment="1">
      <alignment horizontal="right"/>
    </xf>
    <xf numFmtId="3" fontId="17" fillId="34" borderId="0" xfId="0" applyNumberFormat="1" applyFont="1" applyFill="1" applyBorder="1" applyAlignment="1">
      <alignment/>
    </xf>
    <xf numFmtId="3" fontId="17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34" borderId="0" xfId="0" applyFont="1" applyFill="1" applyAlignment="1">
      <alignment horizontal="centerContinuous"/>
    </xf>
    <xf numFmtId="0" fontId="9" fillId="34" borderId="0" xfId="0" applyFont="1" applyFill="1" applyAlignment="1">
      <alignment/>
    </xf>
    <xf numFmtId="0" fontId="13" fillId="34" borderId="0" xfId="0" applyFont="1" applyFill="1" applyAlignment="1">
      <alignment horizontal="centerContinuous" wrapText="1"/>
    </xf>
    <xf numFmtId="0" fontId="9" fillId="34" borderId="0" xfId="0" applyFont="1" applyFill="1" applyAlignment="1">
      <alignment horizontal="centerContinuous"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/>
    </xf>
    <xf numFmtId="0" fontId="9" fillId="34" borderId="0" xfId="0" applyFont="1" applyFill="1" applyAlignment="1">
      <alignment horizontal="left"/>
    </xf>
    <xf numFmtId="0" fontId="14" fillId="34" borderId="0" xfId="0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0" fontId="9" fillId="34" borderId="0" xfId="0" applyFont="1" applyFill="1" applyAlignment="1">
      <alignment horizontal="left" indent="3"/>
    </xf>
    <xf numFmtId="0" fontId="11" fillId="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19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19" borderId="0" xfId="0" applyFont="1" applyFill="1" applyAlignment="1">
      <alignment horizontal="left" vertical="center"/>
    </xf>
    <xf numFmtId="0" fontId="9" fillId="19" borderId="0" xfId="0" applyFont="1" applyFill="1" applyAlignment="1">
      <alignment horizontal="left" vertical="center"/>
    </xf>
    <xf numFmtId="0" fontId="9" fillId="19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vertical="center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14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13" borderId="0" xfId="0" applyFont="1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3" borderId="0" xfId="0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86;&#1090;&#1095;&#1077;&#1090;&#1099;%20&#1087;&#1086;%20&#1076;&#1086;&#1084;&#1072;&#1084;\&#1085;&#1072;&#1095;&#1080;&#1089;&#1083;&#1077;&#1085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4;&#1089;&#1090;&#1072;&#1090;&#1082;&#1080;%20&#1087;&#1086;%20&#1076;&#1086;&#1084;&#1072;&#1084;%20&#1057;&#1090;&#1088;&#1086;&#1080;&#1090;&#1077;&#1083;&#1100;-97%20&#1079;&#1072;%202013&#1075;.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9;&#1089;&#1083;&#1091;&#1075;&#1072;%20&#1040;&#1042;&#1057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61;&#1042;&#1057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76;&#1086;&#1083;&#1075;%20&#1087;&#1077;&#1088;&#1077;&#1076;%20&#1046;&#1057;&#1050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91;&#1073;&#1086;&#1088;&#1082;&#1072;%20&#1076;&#1074;&#1086;&#1088;&#1072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91;&#1073;&#1086;&#1088;&#1082;&#1072;%20&#1087;&#1086;&#1076;&#1098;&#1077;&#1079;&#1076;&#1072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87;&#1077;&#1088;&#1077;&#1076;&#1072;&#1095;&#1072;%20&#1076;&#1086;&#1083;&#1075;&#1072;%20&#1078;&#1089;&#1082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lasova_TG\Local%20Settings\Temporary%20Internet%20Files\Content.Outlook\0ODAF3OX\&#1054;&#1089;&#1090;&#1072;&#1090;&#1082;&#1080;%20&#1087;&#1086;%20&#1076;&#1086;&#1084;&#1072;&#1084;%20&#1057;&#1090;&#1088;&#1086;&#1080;&#1090;&#1077;&#1083;&#1100;-97%20&#1079;&#1072;%202013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86;&#1090;&#1095;&#1077;&#1090;&#1099;%20&#1087;&#1086;%20&#1076;&#1086;&#1084;&#1072;&#1084;\&#1086;&#1087;&#1083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4;&#1089;&#1074;&#1077;&#1097;&#1077;&#1085;&#1080;&#1077;%20&#1052;&#1054;&#105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1;&#1080;&#1092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2;&#1091;&#1089;&#1086;&#1088;&#1086;&#1087;&#1088;&#1086;&#1074;&#1086;&#107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7;&#1086;&#1076;&#1077;&#1088;&#1078;&#1072;&#1085;&#1080;&#1077;%20&#1080;%20&#1088;&#1077;&#1084;&#1086;&#1085;&#109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4;&#1073;&#1089;&#1083;&#1091;&#1078;&#1080;&#1074;&#1072;&#1085;&#1080;&#1077;%20&#1054;&#1055;&#105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101;&#1083;.&#1101;&#1085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88;&#1086;&#1080;&#1090;&#1077;&#1083;&#1100;97%202013\&#1076;&#1083;&#1103;%20&#1086;&#1089;&#1090;&#1072;&#1090;&#1082;&#1086;&#1074;%20&#1087;&#1086;%20&#1076;&#1086;&#1084;&#1086;&#1074;\&#1050;&#1086;&#1085;&#1089;&#1098;&#1077;&#1088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">
          <cell r="H10">
            <v>98970.48</v>
          </cell>
          <cell r="L10">
            <v>1685.76</v>
          </cell>
        </row>
        <row r="11">
          <cell r="F11">
            <v>1500</v>
          </cell>
          <cell r="H11">
            <v>691191</v>
          </cell>
          <cell r="J11">
            <v>184693.68</v>
          </cell>
          <cell r="L11">
            <v>12577.44</v>
          </cell>
        </row>
        <row r="12">
          <cell r="E12">
            <v>19845.17</v>
          </cell>
          <cell r="H12">
            <v>499379.93</v>
          </cell>
          <cell r="J12">
            <v>107853.05</v>
          </cell>
          <cell r="L12">
            <v>8505.81</v>
          </cell>
        </row>
        <row r="13">
          <cell r="E13">
            <v>58876.82</v>
          </cell>
          <cell r="G13">
            <v>64077.38</v>
          </cell>
          <cell r="H13">
            <v>1481458.08</v>
          </cell>
          <cell r="J13">
            <v>448162.92</v>
          </cell>
          <cell r="L13">
            <v>25231.14</v>
          </cell>
        </row>
        <row r="14">
          <cell r="G14">
            <v>16240.28</v>
          </cell>
          <cell r="H14">
            <v>482482.8</v>
          </cell>
          <cell r="J14">
            <v>135206.52</v>
          </cell>
          <cell r="L14">
            <v>8217.6</v>
          </cell>
        </row>
        <row r="16">
          <cell r="G16">
            <v>9353.48</v>
          </cell>
          <cell r="H16">
            <v>359720.76</v>
          </cell>
          <cell r="L16">
            <v>6126.84</v>
          </cell>
        </row>
        <row r="17">
          <cell r="E17">
            <v>25268.88</v>
          </cell>
          <cell r="F17">
            <v>1500</v>
          </cell>
          <cell r="G17">
            <v>43125.32</v>
          </cell>
          <cell r="H17">
            <v>926363.36</v>
          </cell>
          <cell r="J17">
            <v>280238.48</v>
          </cell>
          <cell r="L17">
            <v>15778</v>
          </cell>
        </row>
        <row r="19">
          <cell r="F19">
            <v>1500</v>
          </cell>
          <cell r="G19">
            <v>39012.92</v>
          </cell>
          <cell r="H19">
            <v>768356.64</v>
          </cell>
          <cell r="J19">
            <v>232439.04</v>
          </cell>
          <cell r="L19">
            <v>13086</v>
          </cell>
        </row>
        <row r="20">
          <cell r="G20">
            <v>22236.96</v>
          </cell>
          <cell r="H20">
            <v>1221792.07</v>
          </cell>
          <cell r="J20">
            <v>369610.33</v>
          </cell>
          <cell r="L20">
            <v>20808.51</v>
          </cell>
        </row>
        <row r="21">
          <cell r="E21">
            <v>63880.4</v>
          </cell>
          <cell r="F21">
            <v>6000</v>
          </cell>
          <cell r="G21">
            <v>93219.27</v>
          </cell>
          <cell r="H21">
            <v>1607459.52</v>
          </cell>
          <cell r="J21">
            <v>486280.12</v>
          </cell>
          <cell r="L21">
            <v>27381.68</v>
          </cell>
        </row>
        <row r="22">
          <cell r="G22">
            <v>35897.58</v>
          </cell>
          <cell r="H22">
            <v>980711.12</v>
          </cell>
          <cell r="J22">
            <v>296680.24</v>
          </cell>
          <cell r="L22">
            <v>16705.12</v>
          </cell>
        </row>
        <row r="23">
          <cell r="F23">
            <v>9171.25</v>
          </cell>
          <cell r="G23">
            <v>125285.02</v>
          </cell>
          <cell r="H23">
            <v>2147787.37</v>
          </cell>
          <cell r="J23">
            <v>649737.03</v>
          </cell>
          <cell r="L23">
            <v>36581.22</v>
          </cell>
        </row>
        <row r="24">
          <cell r="E24">
            <v>60150.74</v>
          </cell>
          <cell r="F24">
            <v>3000</v>
          </cell>
          <cell r="G24">
            <v>68546.65</v>
          </cell>
          <cell r="H24">
            <v>1513555.88</v>
          </cell>
          <cell r="J24">
            <v>457872.34</v>
          </cell>
          <cell r="L24">
            <v>25778.55</v>
          </cell>
        </row>
        <row r="25">
          <cell r="E25">
            <v>38036.76</v>
          </cell>
          <cell r="F25">
            <v>5000</v>
          </cell>
          <cell r="G25">
            <v>80854.97</v>
          </cell>
          <cell r="H25">
            <v>1219280.16</v>
          </cell>
          <cell r="J25">
            <v>363076.2</v>
          </cell>
          <cell r="L25">
            <v>20767.2</v>
          </cell>
        </row>
        <row r="26">
          <cell r="F26">
            <v>1500</v>
          </cell>
          <cell r="G26">
            <v>99910.13</v>
          </cell>
          <cell r="H26">
            <v>1745008.98</v>
          </cell>
          <cell r="J26">
            <v>527891.61</v>
          </cell>
          <cell r="L26">
            <v>29721.32</v>
          </cell>
        </row>
        <row r="27">
          <cell r="E27">
            <v>85293.92</v>
          </cell>
          <cell r="F27">
            <v>3000</v>
          </cell>
          <cell r="G27">
            <v>94741.14</v>
          </cell>
          <cell r="H27">
            <v>2146233.3</v>
          </cell>
          <cell r="J27">
            <v>644612.38</v>
          </cell>
          <cell r="L27">
            <v>36554.3</v>
          </cell>
        </row>
        <row r="28">
          <cell r="G28">
            <v>55350.67</v>
          </cell>
          <cell r="H28">
            <v>1036406.79</v>
          </cell>
          <cell r="J28">
            <v>313528.63</v>
          </cell>
          <cell r="L28">
            <v>17652.01</v>
          </cell>
        </row>
        <row r="29">
          <cell r="E29">
            <v>34453.53</v>
          </cell>
          <cell r="F29">
            <v>1500</v>
          </cell>
          <cell r="G29">
            <v>45276.18</v>
          </cell>
          <cell r="H29">
            <v>866943.89</v>
          </cell>
          <cell r="J29">
            <v>258301.95</v>
          </cell>
          <cell r="L29">
            <v>14765.5</v>
          </cell>
        </row>
        <row r="30">
          <cell r="E30">
            <v>66249.01</v>
          </cell>
          <cell r="F30">
            <v>6000</v>
          </cell>
          <cell r="G30">
            <v>62798.83</v>
          </cell>
          <cell r="H30">
            <v>1667032.83</v>
          </cell>
          <cell r="J30">
            <v>504301.65</v>
          </cell>
          <cell r="L30">
            <v>28393.04</v>
          </cell>
        </row>
        <row r="31">
          <cell r="E31">
            <v>56740.24</v>
          </cell>
          <cell r="F31">
            <v>1500</v>
          </cell>
          <cell r="G31">
            <v>60309.17</v>
          </cell>
          <cell r="H31">
            <v>1427737.32</v>
          </cell>
          <cell r="J31">
            <v>431911.5</v>
          </cell>
          <cell r="L31">
            <v>24316.79</v>
          </cell>
        </row>
        <row r="32">
          <cell r="F32">
            <v>3430.22</v>
          </cell>
          <cell r="G32">
            <v>63597.73</v>
          </cell>
          <cell r="H32">
            <v>1169154.3</v>
          </cell>
          <cell r="J32">
            <v>350648.24</v>
          </cell>
          <cell r="L32">
            <v>19913.01</v>
          </cell>
        </row>
        <row r="33">
          <cell r="E33">
            <v>51928.35</v>
          </cell>
          <cell r="F33">
            <v>500</v>
          </cell>
          <cell r="G33">
            <v>45032.84</v>
          </cell>
          <cell r="H33">
            <v>1306712.26</v>
          </cell>
          <cell r="J33">
            <v>395299.1</v>
          </cell>
          <cell r="L33">
            <v>22257.38</v>
          </cell>
        </row>
        <row r="34">
          <cell r="G34">
            <v>5986.02</v>
          </cell>
          <cell r="H34">
            <v>431097.57</v>
          </cell>
          <cell r="L34">
            <v>7342.6</v>
          </cell>
        </row>
        <row r="35">
          <cell r="E35">
            <v>49340.21</v>
          </cell>
          <cell r="F35">
            <v>3430.22</v>
          </cell>
          <cell r="G35">
            <v>66433.22</v>
          </cell>
          <cell r="H35">
            <v>1241545.16</v>
          </cell>
          <cell r="J35">
            <v>375585.36</v>
          </cell>
          <cell r="L35">
            <v>21145.97</v>
          </cell>
        </row>
        <row r="36">
          <cell r="G36">
            <v>7094.58</v>
          </cell>
          <cell r="H36">
            <v>334715.16</v>
          </cell>
          <cell r="L36">
            <v>5700.72</v>
          </cell>
        </row>
        <row r="37">
          <cell r="G37">
            <v>15641.54</v>
          </cell>
          <cell r="H37">
            <v>339923.4</v>
          </cell>
          <cell r="K37">
            <v>100800</v>
          </cell>
          <cell r="L37">
            <v>5789.52</v>
          </cell>
        </row>
        <row r="38">
          <cell r="H38">
            <v>317196.84</v>
          </cell>
          <cell r="J38">
            <v>95956.68</v>
          </cell>
          <cell r="L38">
            <v>5402.52</v>
          </cell>
        </row>
        <row r="39">
          <cell r="E39">
            <v>27413.97</v>
          </cell>
          <cell r="F39">
            <v>3000</v>
          </cell>
          <cell r="G39">
            <v>49139.92</v>
          </cell>
          <cell r="H39">
            <v>689811.78</v>
          </cell>
          <cell r="J39">
            <v>192537.42</v>
          </cell>
          <cell r="K39">
            <v>104190</v>
          </cell>
          <cell r="L39">
            <v>11748.21</v>
          </cell>
        </row>
        <row r="40">
          <cell r="E40">
            <v>45816.48</v>
          </cell>
          <cell r="F40">
            <v>3500</v>
          </cell>
          <cell r="G40">
            <v>44460.77</v>
          </cell>
          <cell r="H40">
            <v>1152889.72</v>
          </cell>
          <cell r="J40">
            <v>348765.64</v>
          </cell>
          <cell r="L40">
            <v>19636.32</v>
          </cell>
        </row>
        <row r="41">
          <cell r="E41">
            <v>19372.92</v>
          </cell>
          <cell r="G41">
            <v>24130.97</v>
          </cell>
          <cell r="H41">
            <v>487483.7</v>
          </cell>
          <cell r="J41">
            <v>142381.46</v>
          </cell>
          <cell r="L41">
            <v>8302.82</v>
          </cell>
        </row>
        <row r="42">
          <cell r="E42">
            <v>8314.44</v>
          </cell>
          <cell r="F42">
            <v>1500</v>
          </cell>
          <cell r="G42">
            <v>15031.46</v>
          </cell>
          <cell r="H42">
            <v>209211.66</v>
          </cell>
          <cell r="J42">
            <v>53719.68</v>
          </cell>
          <cell r="L42">
            <v>3563.19</v>
          </cell>
        </row>
        <row r="43">
          <cell r="G43">
            <v>13075.84</v>
          </cell>
          <cell r="H43">
            <v>356139.72</v>
          </cell>
          <cell r="L43">
            <v>6065.76</v>
          </cell>
        </row>
        <row r="44">
          <cell r="G44">
            <v>1702.99</v>
          </cell>
          <cell r="H44">
            <v>232691.88</v>
          </cell>
          <cell r="L44">
            <v>3963.16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 НЖП"/>
      <sheetName val="коммунНЖП"/>
      <sheetName val="МКД НЖП"/>
      <sheetName val="начисление"/>
      <sheetName val="площадь"/>
      <sheetName val="оплата"/>
      <sheetName val="начисление НЖП"/>
      <sheetName val="ОСТАТКИ"/>
      <sheetName val="СИР"/>
      <sheetName val="Мусоропровод"/>
      <sheetName val="АВС"/>
      <sheetName val="ОсвещМОП"/>
      <sheetName val="лифт"/>
      <sheetName val="консъерж"/>
      <sheetName val="ОПУ"/>
      <sheetName val="ТБО"/>
      <sheetName val="эл.эн"/>
      <sheetName val="долг п.ЖСК"/>
      <sheetName val="у двора"/>
      <sheetName val="ХВС по сч"/>
      <sheetName val="отопление"/>
      <sheetName val="у подъез"/>
      <sheetName val="передача долга Жск"/>
      <sheetName val="ГВС по счетчику"/>
      <sheetName val="прочее"/>
      <sheetName val="ХВС"/>
    </sheetNames>
    <sheetDataSet>
      <sheetData sheetId="1">
        <row r="27">
          <cell r="E27">
            <v>152970.41</v>
          </cell>
          <cell r="F27">
            <v>110593.63</v>
          </cell>
        </row>
        <row r="34">
          <cell r="E34">
            <v>118019.93</v>
          </cell>
          <cell r="F34">
            <v>142035.01</v>
          </cell>
        </row>
        <row r="40">
          <cell r="E40">
            <v>275260.36000000004</v>
          </cell>
          <cell r="F40">
            <v>255226.97999999998</v>
          </cell>
        </row>
        <row r="52">
          <cell r="E52">
            <v>6231.89</v>
          </cell>
          <cell r="F52">
            <v>3499.68</v>
          </cell>
        </row>
        <row r="56">
          <cell r="E56">
            <v>304916.21</v>
          </cell>
          <cell r="F56">
            <v>290213.42</v>
          </cell>
        </row>
        <row r="67">
          <cell r="E67">
            <v>256400.95</v>
          </cell>
          <cell r="F67">
            <v>234185.71</v>
          </cell>
        </row>
        <row r="83">
          <cell r="E83">
            <v>363905.39999999997</v>
          </cell>
          <cell r="F83">
            <v>342580.57</v>
          </cell>
        </row>
        <row r="99">
          <cell r="E99">
            <v>56613.530000000006</v>
          </cell>
          <cell r="F99">
            <v>51353.06</v>
          </cell>
        </row>
        <row r="106">
          <cell r="E106">
            <v>380286.76</v>
          </cell>
          <cell r="F106">
            <v>318178.04000000004</v>
          </cell>
        </row>
        <row r="117">
          <cell r="E117">
            <v>7583.59</v>
          </cell>
          <cell r="F117">
            <v>6389.19</v>
          </cell>
        </row>
      </sheetData>
      <sheetData sheetId="9">
        <row r="17">
          <cell r="F17">
            <v>12.55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G13">
            <v>-1500</v>
          </cell>
        </row>
        <row r="15">
          <cell r="G15">
            <v>-1500</v>
          </cell>
        </row>
        <row r="23">
          <cell r="G23">
            <v>1500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">
          <cell r="E10">
            <v>-6516.46</v>
          </cell>
        </row>
        <row r="12">
          <cell r="E12">
            <v>-707.13</v>
          </cell>
        </row>
        <row r="13">
          <cell r="E13">
            <v>-707.13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C16">
            <v>2558.42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C24">
            <v>1551.16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C24">
            <v>735.66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C15">
            <v>157977.7</v>
          </cell>
        </row>
        <row r="16">
          <cell r="C16">
            <v>88975.89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О НЖП"/>
      <sheetName val="коммунНЖП"/>
      <sheetName val="МКД НЖП"/>
      <sheetName val="начисление"/>
      <sheetName val="площадь"/>
      <sheetName val="оплата"/>
      <sheetName val="начисление НЖП"/>
      <sheetName val="ОСТАТКИ"/>
      <sheetName val="СИР"/>
      <sheetName val="Мусоропровод"/>
      <sheetName val="АВС"/>
      <sheetName val="ОсвещМОП"/>
      <sheetName val="лифт"/>
      <sheetName val="консъерж"/>
      <sheetName val="ОПУ"/>
      <sheetName val="ТБО"/>
      <sheetName val="эл.эн"/>
      <sheetName val="долг п.ЖСК"/>
      <sheetName val="у двора"/>
      <sheetName val="ХВС по сч"/>
      <sheetName val="отопление"/>
      <sheetName val="у подъез"/>
      <sheetName val="передача долга Жск"/>
      <sheetName val="ГВС по счетчику"/>
      <sheetName val="прочее"/>
      <sheetName val="ХВС"/>
    </sheetNames>
    <sheetDataSet>
      <sheetData sheetId="1">
        <row r="9">
          <cell r="E9">
            <v>279406.62</v>
          </cell>
          <cell r="F9">
            <v>263833.35</v>
          </cell>
        </row>
        <row r="18">
          <cell r="E18">
            <v>254092.86999999997</v>
          </cell>
          <cell r="F18">
            <v>238712.71000000002</v>
          </cell>
        </row>
        <row r="121">
          <cell r="E121">
            <v>197085.31</v>
          </cell>
          <cell r="F121">
            <v>199310.14</v>
          </cell>
        </row>
        <row r="128">
          <cell r="E128">
            <v>86782.44</v>
          </cell>
          <cell r="F128">
            <v>83500.85</v>
          </cell>
        </row>
        <row r="135">
          <cell r="E135">
            <v>75505.48000000001</v>
          </cell>
          <cell r="F135">
            <v>72358.36</v>
          </cell>
        </row>
        <row r="143">
          <cell r="E143">
            <v>0</v>
          </cell>
          <cell r="F143">
            <v>388.14</v>
          </cell>
        </row>
        <row r="147">
          <cell r="E147">
            <v>60749.31</v>
          </cell>
          <cell r="F147">
            <v>47213.2</v>
          </cell>
        </row>
        <row r="151">
          <cell r="E151">
            <v>137874.31</v>
          </cell>
          <cell r="F151">
            <v>156730.44</v>
          </cell>
        </row>
        <row r="162">
          <cell r="E162">
            <v>114084.97</v>
          </cell>
          <cell r="F162">
            <v>126713.10999999999</v>
          </cell>
        </row>
        <row r="169">
          <cell r="E169">
            <v>4262.76</v>
          </cell>
          <cell r="F169">
            <v>11216.69</v>
          </cell>
        </row>
      </sheetData>
      <sheetData sheetId="6">
        <row r="6">
          <cell r="K6">
            <v>1484.4826597693616</v>
          </cell>
          <cell r="L6">
            <v>1332.0444551668004</v>
          </cell>
        </row>
        <row r="7">
          <cell r="B7">
            <v>94499.6</v>
          </cell>
          <cell r="C7">
            <v>63815.2</v>
          </cell>
          <cell r="K7">
            <v>12024.99752383661</v>
          </cell>
          <cell r="L7">
            <v>10790.177419458501</v>
          </cell>
        </row>
        <row r="8">
          <cell r="B8">
            <v>11259</v>
          </cell>
          <cell r="C8">
            <v>9705.52</v>
          </cell>
          <cell r="K8">
            <v>13066.066167427292</v>
          </cell>
          <cell r="L8">
            <v>11724.341052167048</v>
          </cell>
        </row>
        <row r="9">
          <cell r="B9">
            <v>163082.4</v>
          </cell>
          <cell r="C9">
            <v>164192.6</v>
          </cell>
          <cell r="K9">
            <v>24539.792211690412</v>
          </cell>
          <cell r="L9">
            <v>22019.85582748826</v>
          </cell>
        </row>
        <row r="10">
          <cell r="B10">
            <v>131976</v>
          </cell>
          <cell r="C10">
            <v>131976</v>
          </cell>
          <cell r="K10">
            <v>9114.39951473582</v>
          </cell>
          <cell r="L10">
            <v>8178.462210980016</v>
          </cell>
        </row>
        <row r="12">
          <cell r="B12">
            <v>84622.2</v>
          </cell>
          <cell r="C12">
            <v>86387.6</v>
          </cell>
          <cell r="K12">
            <v>6599.500800353043</v>
          </cell>
          <cell r="L12">
            <v>5921.812821542106</v>
          </cell>
        </row>
        <row r="13">
          <cell r="B13">
            <v>180476.4</v>
          </cell>
          <cell r="C13">
            <v>218835.16999999998</v>
          </cell>
          <cell r="K13">
            <v>16463.132406489876</v>
          </cell>
          <cell r="L13">
            <v>14772.570155955089</v>
          </cell>
        </row>
        <row r="15">
          <cell r="B15">
            <v>123562.06</v>
          </cell>
          <cell r="C15">
            <v>119052.4</v>
          </cell>
          <cell r="K15">
            <v>13339.26068890675</v>
          </cell>
          <cell r="L15">
            <v>11969.481839177113</v>
          </cell>
        </row>
        <row r="16">
          <cell r="B16">
            <v>100233.90000000001</v>
          </cell>
          <cell r="C16">
            <v>5733</v>
          </cell>
          <cell r="K16">
            <v>19751.675395346567</v>
          </cell>
          <cell r="L16">
            <v>17723.42001941176</v>
          </cell>
        </row>
        <row r="17">
          <cell r="B17">
            <v>153862.8</v>
          </cell>
          <cell r="C17">
            <v>166998.84999999998</v>
          </cell>
          <cell r="K17">
            <v>26300.465433589085</v>
          </cell>
          <cell r="L17">
            <v>23599.729453600652</v>
          </cell>
        </row>
        <row r="18">
          <cell r="B18">
            <v>8907.6</v>
          </cell>
          <cell r="C18">
            <v>8907.6</v>
          </cell>
          <cell r="K18">
            <v>14836.925927535476</v>
          </cell>
          <cell r="L18">
            <v>13313.355183660238</v>
          </cell>
        </row>
        <row r="19">
          <cell r="B19">
            <v>178573.2</v>
          </cell>
          <cell r="C19">
            <v>176956.58000000002</v>
          </cell>
          <cell r="K19">
            <v>44057.40839108459</v>
          </cell>
          <cell r="L19">
            <v>39713.46397752414</v>
          </cell>
        </row>
        <row r="20">
          <cell r="B20">
            <v>256978.80000000002</v>
          </cell>
          <cell r="C20">
            <v>258907.93000000002</v>
          </cell>
          <cell r="K20">
            <v>26413.538227004017</v>
          </cell>
          <cell r="L20">
            <v>23701.191054723018</v>
          </cell>
        </row>
        <row r="21">
          <cell r="B21">
            <v>333033.6</v>
          </cell>
          <cell r="C21">
            <v>365367.94</v>
          </cell>
          <cell r="K21">
            <v>22206.653296732227</v>
          </cell>
          <cell r="L21">
            <v>19926.301730139094</v>
          </cell>
        </row>
        <row r="22">
          <cell r="K22">
            <v>26173.499888716302</v>
          </cell>
          <cell r="L22">
            <v>23485.80171659947</v>
          </cell>
        </row>
        <row r="23">
          <cell r="B23">
            <v>317964.39999999997</v>
          </cell>
          <cell r="C23">
            <v>276242.59</v>
          </cell>
          <cell r="K23">
            <v>205303.27339223147</v>
          </cell>
          <cell r="L23">
            <v>201534.29632663343</v>
          </cell>
        </row>
        <row r="24">
          <cell r="B24">
            <v>129963.59999999999</v>
          </cell>
          <cell r="C24">
            <v>131559.02</v>
          </cell>
          <cell r="K24">
            <v>17389.90764751198</v>
          </cell>
          <cell r="L24">
            <v>15604.176920011985</v>
          </cell>
        </row>
        <row r="25">
          <cell r="K25">
            <v>12991.498044586433</v>
          </cell>
          <cell r="L25">
            <v>11657.430163104997</v>
          </cell>
        </row>
        <row r="26">
          <cell r="B26">
            <v>42712.799999999996</v>
          </cell>
          <cell r="C26">
            <v>40660.1</v>
          </cell>
          <cell r="K26">
            <v>25896.22187479556</v>
          </cell>
          <cell r="L26">
            <v>23236.996761855055</v>
          </cell>
        </row>
        <row r="27">
          <cell r="B27">
            <v>255200.40000000002</v>
          </cell>
          <cell r="C27">
            <v>185681.68</v>
          </cell>
          <cell r="K27">
            <v>158056.2472438184</v>
          </cell>
          <cell r="L27">
            <v>155485.3310025829</v>
          </cell>
        </row>
        <row r="28">
          <cell r="K28">
            <v>17523.286938664827</v>
          </cell>
          <cell r="L28">
            <v>15723.859790030707</v>
          </cell>
        </row>
        <row r="29">
          <cell r="B29">
            <v>6240</v>
          </cell>
          <cell r="C29">
            <v>6240</v>
          </cell>
          <cell r="K29">
            <v>19671.64782065486</v>
          </cell>
          <cell r="L29">
            <v>17651.610297400523</v>
          </cell>
        </row>
        <row r="30">
          <cell r="K30">
            <v>6456.8004938450895</v>
          </cell>
          <cell r="L30">
            <v>5793.766090390625</v>
          </cell>
        </row>
        <row r="31">
          <cell r="B31">
            <v>248866.8</v>
          </cell>
          <cell r="C31">
            <v>228127.9</v>
          </cell>
          <cell r="K31">
            <v>22192.671773699563</v>
          </cell>
          <cell r="L31">
            <v>19913.755938439957</v>
          </cell>
        </row>
        <row r="32">
          <cell r="B32">
            <v>69560.4</v>
          </cell>
          <cell r="C32">
            <v>70079.09999999999</v>
          </cell>
          <cell r="K32">
            <v>6010.057543611015</v>
          </cell>
          <cell r="L32">
            <v>5392.898174670671</v>
          </cell>
        </row>
        <row r="33">
          <cell r="B33">
            <v>72259.2</v>
          </cell>
          <cell r="C33">
            <v>72259.2</v>
          </cell>
          <cell r="K33">
            <v>6126.570235549857</v>
          </cell>
          <cell r="L33">
            <v>5497.446438830123</v>
          </cell>
        </row>
        <row r="34">
          <cell r="B34">
            <v>117514.8</v>
          </cell>
          <cell r="C34">
            <v>127307.7</v>
          </cell>
          <cell r="K34">
            <v>6429.503234590847</v>
          </cell>
          <cell r="L34">
            <v>5769.271925644697</v>
          </cell>
        </row>
        <row r="35">
          <cell r="K35">
            <v>10409.576791221692</v>
          </cell>
          <cell r="L35">
            <v>9340.640629331556</v>
          </cell>
        </row>
        <row r="36">
          <cell r="K36">
            <v>17291.5931284093</v>
          </cell>
          <cell r="L36">
            <v>15515.958099016483</v>
          </cell>
        </row>
        <row r="37">
          <cell r="K37">
            <v>7311.892688207678</v>
          </cell>
          <cell r="L37">
            <v>6561.050779545609</v>
          </cell>
        </row>
        <row r="38">
          <cell r="B38">
            <v>10732.8</v>
          </cell>
          <cell r="C38">
            <v>9838.4</v>
          </cell>
          <cell r="K38">
            <v>3291.2061361010065</v>
          </cell>
          <cell r="L38">
            <v>2953.2395380660264</v>
          </cell>
        </row>
        <row r="39">
          <cell r="B39">
            <v>83023.2</v>
          </cell>
          <cell r="C39">
            <v>64638.45</v>
          </cell>
          <cell r="K39">
            <v>6522.935317078946</v>
          </cell>
          <cell r="L39">
            <v>5853.109676523038</v>
          </cell>
        </row>
        <row r="40">
          <cell r="K40">
            <v>3454.545833752412</v>
          </cell>
          <cell r="L40">
            <v>3099.806247440038</v>
          </cell>
        </row>
        <row r="41">
          <cell r="B41">
            <v>538989</v>
          </cell>
          <cell r="C41">
            <v>0</v>
          </cell>
          <cell r="K41">
            <v>3624.7653284516346</v>
          </cell>
          <cell r="L41">
            <v>3252.5462828882273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C9">
            <v>59890.02</v>
          </cell>
          <cell r="D9">
            <v>1098.74</v>
          </cell>
          <cell r="E9">
            <v>521.01</v>
          </cell>
          <cell r="I9">
            <v>1500</v>
          </cell>
          <cell r="K9">
            <v>64142.38</v>
          </cell>
          <cell r="L9">
            <v>14280.8</v>
          </cell>
          <cell r="N9">
            <v>1499633.94</v>
          </cell>
          <cell r="P9">
            <v>453781.31</v>
          </cell>
          <cell r="Q9">
            <v>2268.51</v>
          </cell>
          <cell r="S9">
            <v>25451.19</v>
          </cell>
          <cell r="T9">
            <v>56516.57</v>
          </cell>
        </row>
        <row r="10">
          <cell r="C10">
            <v>47618.09</v>
          </cell>
          <cell r="I10">
            <v>913.85</v>
          </cell>
          <cell r="K10">
            <v>42465.08</v>
          </cell>
          <cell r="N10">
            <v>1125452.47</v>
          </cell>
          <cell r="P10">
            <v>328026.65</v>
          </cell>
          <cell r="S10">
            <v>18341.61</v>
          </cell>
          <cell r="T10">
            <v>74493.42</v>
          </cell>
        </row>
        <row r="11">
          <cell r="I11">
            <v>1500</v>
          </cell>
          <cell r="N11">
            <v>650745.7</v>
          </cell>
          <cell r="P11">
            <v>173368.6</v>
          </cell>
          <cell r="S11">
            <v>11918.89</v>
          </cell>
        </row>
        <row r="12">
          <cell r="C12">
            <v>51680.35</v>
          </cell>
          <cell r="I12">
            <v>1048.16</v>
          </cell>
          <cell r="K12">
            <v>40170.19</v>
          </cell>
          <cell r="N12">
            <v>1272181.19</v>
          </cell>
          <cell r="P12">
            <v>390078.33</v>
          </cell>
          <cell r="S12">
            <v>21219.54</v>
          </cell>
          <cell r="T12">
            <v>68366.38</v>
          </cell>
        </row>
        <row r="13">
          <cell r="D13">
            <v>209.66</v>
          </cell>
          <cell r="E13">
            <v>94.29</v>
          </cell>
          <cell r="I13">
            <v>3430.22</v>
          </cell>
          <cell r="K13">
            <v>60073.53</v>
          </cell>
          <cell r="N13">
            <v>1130770.73</v>
          </cell>
          <cell r="P13">
            <v>332336.8</v>
          </cell>
          <cell r="Q13">
            <v>194.55</v>
          </cell>
          <cell r="S13">
            <v>18955.24</v>
          </cell>
        </row>
        <row r="14">
          <cell r="K14">
            <v>15597.4</v>
          </cell>
          <cell r="N14">
            <v>352579.2</v>
          </cell>
          <cell r="R14">
            <v>99642.57</v>
          </cell>
          <cell r="S14">
            <v>5706.34</v>
          </cell>
        </row>
        <row r="15">
          <cell r="C15">
            <v>60680.55</v>
          </cell>
          <cell r="D15">
            <v>2159.37</v>
          </cell>
          <cell r="E15">
            <v>1023.98</v>
          </cell>
          <cell r="I15">
            <v>3000</v>
          </cell>
          <cell r="K15">
            <v>68853.86</v>
          </cell>
          <cell r="L15">
            <v>12391.56</v>
          </cell>
          <cell r="N15">
            <v>1501973.43</v>
          </cell>
          <cell r="P15">
            <v>451506.45</v>
          </cell>
          <cell r="Q15">
            <v>4856.89</v>
          </cell>
          <cell r="S15">
            <v>24682.95</v>
          </cell>
          <cell r="T15">
            <v>103086.57</v>
          </cell>
        </row>
        <row r="16">
          <cell r="C16">
            <v>63996.1</v>
          </cell>
          <cell r="D16">
            <v>495.13</v>
          </cell>
          <cell r="E16">
            <v>222.74</v>
          </cell>
          <cell r="G16">
            <v>63816.85</v>
          </cell>
          <cell r="H16">
            <v>25608.19</v>
          </cell>
          <cell r="I16">
            <v>6553.21</v>
          </cell>
          <cell r="K16">
            <v>93141.53</v>
          </cell>
          <cell r="N16">
            <v>1601755.34</v>
          </cell>
          <cell r="P16">
            <v>483946.43</v>
          </cell>
          <cell r="Q16">
            <v>1230.16</v>
          </cell>
          <cell r="S16">
            <v>26042.08</v>
          </cell>
        </row>
        <row r="17">
          <cell r="D17">
            <v>670.59</v>
          </cell>
          <cell r="E17">
            <v>351.04</v>
          </cell>
          <cell r="G17">
            <v>34224.88</v>
          </cell>
          <cell r="H17">
            <v>28186.42</v>
          </cell>
          <cell r="K17">
            <v>33099.29</v>
          </cell>
          <cell r="N17">
            <v>922108.4</v>
          </cell>
          <cell r="P17">
            <v>279759.9</v>
          </cell>
          <cell r="Q17">
            <v>233.52</v>
          </cell>
          <cell r="S17">
            <v>15406.76</v>
          </cell>
        </row>
        <row r="18">
          <cell r="C18">
            <v>27192.75</v>
          </cell>
          <cell r="I18">
            <v>3221.16</v>
          </cell>
          <cell r="K18">
            <v>49385.43</v>
          </cell>
          <cell r="N18">
            <v>681626.52</v>
          </cell>
          <cell r="P18">
            <v>189396.33</v>
          </cell>
          <cell r="R18">
            <v>103386.35</v>
          </cell>
          <cell r="S18">
            <v>11168.14</v>
          </cell>
          <cell r="T18">
            <v>28354.24</v>
          </cell>
        </row>
        <row r="19">
          <cell r="C19">
            <v>67311.33</v>
          </cell>
          <cell r="I19">
            <v>5127.2</v>
          </cell>
          <cell r="K19">
            <v>64279.52</v>
          </cell>
          <cell r="N19">
            <v>1692656.78</v>
          </cell>
          <cell r="P19">
            <v>515531.39</v>
          </cell>
          <cell r="S19">
            <v>27715.76</v>
          </cell>
          <cell r="T19">
            <v>67761.78</v>
          </cell>
        </row>
        <row r="20">
          <cell r="C20">
            <v>32529.22</v>
          </cell>
          <cell r="I20">
            <v>1500</v>
          </cell>
          <cell r="K20">
            <v>42567.06</v>
          </cell>
          <cell r="N20">
            <v>806930.37</v>
          </cell>
          <cell r="P20">
            <v>233119.93</v>
          </cell>
          <cell r="S20">
            <v>13652.74</v>
          </cell>
          <cell r="T20">
            <v>36144.98</v>
          </cell>
        </row>
        <row r="21">
          <cell r="I21">
            <v>610.81</v>
          </cell>
          <cell r="K21">
            <v>40636.45</v>
          </cell>
          <cell r="N21">
            <v>816325.76</v>
          </cell>
          <cell r="P21">
            <v>245541.92</v>
          </cell>
          <cell r="S21">
            <v>13295.65</v>
          </cell>
        </row>
        <row r="22">
          <cell r="D22">
            <v>6.01</v>
          </cell>
          <cell r="E22">
            <v>2.85</v>
          </cell>
          <cell r="I22">
            <v>500</v>
          </cell>
          <cell r="K22">
            <v>22528.87</v>
          </cell>
          <cell r="N22">
            <v>1203337.14</v>
          </cell>
          <cell r="P22">
            <v>358369.08</v>
          </cell>
          <cell r="S22">
            <v>26465.24</v>
          </cell>
        </row>
        <row r="23">
          <cell r="C23">
            <v>58856.78</v>
          </cell>
          <cell r="D23">
            <v>1551.16</v>
          </cell>
          <cell r="E23">
            <v>735.66</v>
          </cell>
          <cell r="K23">
            <v>61255.34</v>
          </cell>
          <cell r="L23">
            <v>2558.42</v>
          </cell>
          <cell r="N23">
            <v>1466525.22</v>
          </cell>
          <cell r="P23">
            <v>436827.78</v>
          </cell>
          <cell r="Q23">
            <v>3193.65</v>
          </cell>
          <cell r="S23">
            <v>24176.91</v>
          </cell>
          <cell r="T23">
            <v>130370.57</v>
          </cell>
        </row>
        <row r="24">
          <cell r="D24">
            <v>2302.31</v>
          </cell>
          <cell r="E24">
            <v>1095.96</v>
          </cell>
          <cell r="I24">
            <v>6181.92</v>
          </cell>
          <cell r="K24">
            <v>124810.86</v>
          </cell>
          <cell r="L24">
            <v>1739.84</v>
          </cell>
          <cell r="N24">
            <v>2068369.94</v>
          </cell>
          <cell r="P24">
            <v>634867.19</v>
          </cell>
          <cell r="Q24">
            <v>4434.26</v>
          </cell>
          <cell r="S24">
            <v>34465.43</v>
          </cell>
        </row>
        <row r="25">
          <cell r="K25">
            <v>10151.45</v>
          </cell>
          <cell r="N25">
            <v>368837.2</v>
          </cell>
          <cell r="S25">
            <v>6284.2</v>
          </cell>
        </row>
        <row r="26">
          <cell r="C26">
            <v>47861.63</v>
          </cell>
          <cell r="D26">
            <v>694.49</v>
          </cell>
          <cell r="E26">
            <v>329.35</v>
          </cell>
          <cell r="I26">
            <v>2665.63</v>
          </cell>
          <cell r="K26">
            <v>63423.04</v>
          </cell>
          <cell r="L26">
            <v>25973.59</v>
          </cell>
          <cell r="N26">
            <v>1202923.88</v>
          </cell>
          <cell r="P26">
            <v>362767.06</v>
          </cell>
          <cell r="S26">
            <v>19886.29</v>
          </cell>
        </row>
        <row r="27">
          <cell r="K27">
            <v>6588.01</v>
          </cell>
          <cell r="N27">
            <v>424562.31</v>
          </cell>
          <cell r="S27">
            <v>7279.1</v>
          </cell>
        </row>
        <row r="28">
          <cell r="C28">
            <v>23.35</v>
          </cell>
          <cell r="D28">
            <v>127.07</v>
          </cell>
          <cell r="E28">
            <v>60.26</v>
          </cell>
          <cell r="I28">
            <v>28.91</v>
          </cell>
          <cell r="K28">
            <v>54834.34</v>
          </cell>
          <cell r="N28">
            <v>1031992.42</v>
          </cell>
          <cell r="P28">
            <v>311480.91</v>
          </cell>
          <cell r="S28">
            <v>17297.31</v>
          </cell>
        </row>
        <row r="29">
          <cell r="C29">
            <v>25553.75</v>
          </cell>
          <cell r="D29">
            <v>267.58</v>
          </cell>
          <cell r="E29">
            <v>127.21</v>
          </cell>
          <cell r="I29">
            <v>1500</v>
          </cell>
          <cell r="K29">
            <v>42250.2</v>
          </cell>
          <cell r="N29">
            <v>932669.81</v>
          </cell>
          <cell r="P29">
            <v>280500.79</v>
          </cell>
          <cell r="S29">
            <v>15242.74</v>
          </cell>
        </row>
        <row r="30">
          <cell r="D30">
            <v>1362.69</v>
          </cell>
          <cell r="E30">
            <v>646.23</v>
          </cell>
          <cell r="G30">
            <v>80591.35</v>
          </cell>
          <cell r="H30">
            <v>40960.52</v>
          </cell>
          <cell r="I30">
            <v>1633.82</v>
          </cell>
          <cell r="K30">
            <v>97939.49</v>
          </cell>
          <cell r="N30">
            <v>1756108.66</v>
          </cell>
          <cell r="P30">
            <v>528567.24</v>
          </cell>
          <cell r="Q30">
            <v>2950.16</v>
          </cell>
          <cell r="S30">
            <v>28650.6</v>
          </cell>
        </row>
        <row r="31">
          <cell r="K31">
            <v>12807.98</v>
          </cell>
          <cell r="N31">
            <v>360120.49</v>
          </cell>
          <cell r="S31">
            <v>5985.66</v>
          </cell>
        </row>
        <row r="32">
          <cell r="C32">
            <v>18096.93</v>
          </cell>
          <cell r="N32">
            <v>454833.81</v>
          </cell>
          <cell r="P32">
            <v>95102.66</v>
          </cell>
          <cell r="S32">
            <v>7851.41</v>
          </cell>
        </row>
        <row r="33">
          <cell r="C33">
            <v>85291.09</v>
          </cell>
          <cell r="I33">
            <v>1500</v>
          </cell>
          <cell r="K33">
            <v>93968.65</v>
          </cell>
          <cell r="N33">
            <v>2143765.55</v>
          </cell>
          <cell r="P33">
            <v>633031.67</v>
          </cell>
          <cell r="S33">
            <v>35875.48</v>
          </cell>
          <cell r="T33">
            <v>97527.96</v>
          </cell>
        </row>
        <row r="34">
          <cell r="C34">
            <v>19770.46</v>
          </cell>
          <cell r="K34">
            <v>24166.08</v>
          </cell>
          <cell r="N34">
            <v>497435.51</v>
          </cell>
          <cell r="P34">
            <v>141289.35</v>
          </cell>
          <cell r="S34">
            <v>8088.65</v>
          </cell>
          <cell r="T34">
            <v>39133.45</v>
          </cell>
        </row>
        <row r="35">
          <cell r="C35">
            <v>37745.93</v>
          </cell>
          <cell r="D35">
            <v>1376.85</v>
          </cell>
          <cell r="E35">
            <v>652.76</v>
          </cell>
          <cell r="G35">
            <v>46442.47</v>
          </cell>
          <cell r="H35">
            <v>39608.01</v>
          </cell>
          <cell r="I35">
            <v>5549.11</v>
          </cell>
          <cell r="K35">
            <v>81865.98</v>
          </cell>
          <cell r="N35">
            <v>1216890.18</v>
          </cell>
          <cell r="P35">
            <v>357518.95</v>
          </cell>
          <cell r="Q35">
            <v>1628.42</v>
          </cell>
          <cell r="S35">
            <v>20178.74</v>
          </cell>
        </row>
        <row r="36">
          <cell r="C36">
            <v>8184.19</v>
          </cell>
          <cell r="I36">
            <v>1500</v>
          </cell>
          <cell r="K36">
            <v>14942.44</v>
          </cell>
          <cell r="N36">
            <v>209282.72</v>
          </cell>
          <cell r="P36">
            <v>52012.66</v>
          </cell>
          <cell r="S36">
            <v>3507.34</v>
          </cell>
        </row>
        <row r="37">
          <cell r="D37">
            <v>1202.75</v>
          </cell>
          <cell r="E37">
            <v>570.34</v>
          </cell>
          <cell r="K37">
            <v>13.63</v>
          </cell>
          <cell r="M37">
            <v>11558.87</v>
          </cell>
          <cell r="N37">
            <v>315993.02</v>
          </cell>
          <cell r="P37">
            <v>95561.06</v>
          </cell>
          <cell r="Q37">
            <v>1353.77</v>
          </cell>
          <cell r="S37">
            <v>4664.46</v>
          </cell>
        </row>
        <row r="38">
          <cell r="D38">
            <v>1323.63</v>
          </cell>
          <cell r="K38">
            <v>17843.04</v>
          </cell>
          <cell r="N38">
            <v>539575.85</v>
          </cell>
          <cell r="P38">
            <v>144465.73</v>
          </cell>
          <cell r="S38">
            <v>7896.84</v>
          </cell>
        </row>
        <row r="39">
          <cell r="K39">
            <v>1496.63</v>
          </cell>
          <cell r="N39">
            <v>189897.69</v>
          </cell>
          <cell r="S39">
            <v>3176.67</v>
          </cell>
        </row>
        <row r="40">
          <cell r="D40">
            <v>2133.13</v>
          </cell>
          <cell r="E40">
            <v>1011.63</v>
          </cell>
          <cell r="K40">
            <v>6547.8</v>
          </cell>
          <cell r="L40">
            <v>2051.32</v>
          </cell>
          <cell r="N40">
            <v>335706.84</v>
          </cell>
          <cell r="Q40">
            <v>1391.82</v>
          </cell>
          <cell r="S40">
            <v>4943.32</v>
          </cell>
        </row>
        <row r="41">
          <cell r="N41">
            <v>77029.19</v>
          </cell>
          <cell r="S41">
            <v>1312.02</v>
          </cell>
        </row>
        <row r="42">
          <cell r="D42">
            <v>3338.43</v>
          </cell>
          <cell r="E42">
            <v>62.42</v>
          </cell>
          <cell r="F42">
            <v>135.12</v>
          </cell>
          <cell r="K42">
            <v>1856.88</v>
          </cell>
          <cell r="M42">
            <v>1721.62</v>
          </cell>
          <cell r="N42">
            <v>29254.45</v>
          </cell>
          <cell r="P42">
            <v>5092.92</v>
          </cell>
          <cell r="Q42">
            <v>26678.13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">
          <cell r="G10">
            <v>-47.42</v>
          </cell>
        </row>
        <row r="16">
          <cell r="G16">
            <v>-9.69</v>
          </cell>
        </row>
        <row r="19">
          <cell r="G19">
            <v>-181.87</v>
          </cell>
        </row>
        <row r="22">
          <cell r="G22">
            <v>-24.17</v>
          </cell>
        </row>
        <row r="23">
          <cell r="G23">
            <v>-99.99</v>
          </cell>
        </row>
        <row r="25">
          <cell r="G25">
            <v>-153.87</v>
          </cell>
        </row>
        <row r="26">
          <cell r="G26">
            <v>495.31</v>
          </cell>
        </row>
        <row r="27">
          <cell r="G27">
            <v>-147.85</v>
          </cell>
        </row>
        <row r="28">
          <cell r="G28">
            <v>-20.95</v>
          </cell>
        </row>
        <row r="29">
          <cell r="G29">
            <v>-41.88</v>
          </cell>
        </row>
        <row r="30">
          <cell r="G30">
            <v>-79.56</v>
          </cell>
        </row>
        <row r="31">
          <cell r="G31">
            <v>-29.28</v>
          </cell>
        </row>
        <row r="35">
          <cell r="G35">
            <v>-193.33</v>
          </cell>
        </row>
        <row r="37">
          <cell r="G37">
            <v>609.87</v>
          </cell>
        </row>
        <row r="40">
          <cell r="G40">
            <v>-64.13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">
          <cell r="G10">
            <v>-496.49</v>
          </cell>
        </row>
        <row r="12">
          <cell r="G12">
            <v>-314.62</v>
          </cell>
        </row>
        <row r="18">
          <cell r="G18">
            <v>-2896.51</v>
          </cell>
        </row>
        <row r="20">
          <cell r="G20">
            <v>-525.93</v>
          </cell>
        </row>
        <row r="21">
          <cell r="G21">
            <v>-3150.51</v>
          </cell>
        </row>
        <row r="22">
          <cell r="G22">
            <v>-309.75</v>
          </cell>
        </row>
        <row r="24">
          <cell r="G24">
            <v>-1737.93</v>
          </cell>
        </row>
        <row r="25">
          <cell r="G25">
            <v>-9309.89</v>
          </cell>
        </row>
        <row r="26">
          <cell r="G26">
            <v>-1158.95</v>
          </cell>
        </row>
        <row r="27">
          <cell r="G27">
            <v>-3806.5</v>
          </cell>
        </row>
        <row r="28">
          <cell r="G28">
            <v>-1573.53</v>
          </cell>
        </row>
        <row r="29">
          <cell r="G29">
            <v>-8069.54</v>
          </cell>
        </row>
        <row r="30">
          <cell r="G30">
            <v>-5600.18</v>
          </cell>
        </row>
        <row r="31">
          <cell r="G31">
            <v>-355.1</v>
          </cell>
        </row>
        <row r="32">
          <cell r="G32">
            <v>-139.14</v>
          </cell>
        </row>
        <row r="34">
          <cell r="G34">
            <v>-855.47</v>
          </cell>
        </row>
        <row r="35">
          <cell r="G35">
            <v>-1528.96</v>
          </cell>
        </row>
        <row r="36">
          <cell r="G36">
            <v>54.08</v>
          </cell>
        </row>
        <row r="37">
          <cell r="G37">
            <v>-144.42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G11">
            <v>-42.69</v>
          </cell>
        </row>
        <row r="14">
          <cell r="D14">
            <v>42.09</v>
          </cell>
          <cell r="G14">
            <v>42.09</v>
          </cell>
        </row>
        <row r="17">
          <cell r="G17">
            <v>-526.84</v>
          </cell>
        </row>
        <row r="18">
          <cell r="G18">
            <v>-334.56</v>
          </cell>
        </row>
        <row r="19">
          <cell r="G19">
            <v>-116.01</v>
          </cell>
        </row>
        <row r="21">
          <cell r="G21">
            <v>-130.61</v>
          </cell>
        </row>
        <row r="22">
          <cell r="G22">
            <v>-210.02</v>
          </cell>
        </row>
        <row r="23">
          <cell r="G23">
            <v>-122.38</v>
          </cell>
        </row>
        <row r="24">
          <cell r="G24">
            <v>-46.68</v>
          </cell>
        </row>
        <row r="25">
          <cell r="G25">
            <v>-18.27</v>
          </cell>
        </row>
        <row r="26">
          <cell r="G26">
            <v>-43.71</v>
          </cell>
        </row>
        <row r="28">
          <cell r="G28">
            <v>-262.11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G13">
            <v>-1082.88</v>
          </cell>
        </row>
        <row r="20">
          <cell r="G20">
            <v>-276.34</v>
          </cell>
        </row>
        <row r="23">
          <cell r="G23">
            <v>-2732.52</v>
          </cell>
        </row>
        <row r="27">
          <cell r="G27">
            <v>-5421.95</v>
          </cell>
        </row>
        <row r="29">
          <cell r="G29">
            <v>-4794.87</v>
          </cell>
        </row>
        <row r="30">
          <cell r="G30">
            <v>-5200.48</v>
          </cell>
        </row>
        <row r="31">
          <cell r="C31">
            <v>256054.28</v>
          </cell>
          <cell r="G31">
            <v>-8753.08</v>
          </cell>
        </row>
        <row r="32">
          <cell r="G32">
            <v>-1208.84</v>
          </cell>
        </row>
        <row r="33">
          <cell r="C33">
            <v>237812.91</v>
          </cell>
          <cell r="G33">
            <v>-1173.82</v>
          </cell>
        </row>
        <row r="34">
          <cell r="G34">
            <v>-4799.65</v>
          </cell>
        </row>
        <row r="35">
          <cell r="G35">
            <v>-459.94</v>
          </cell>
        </row>
        <row r="39">
          <cell r="G39">
            <v>-1206.85</v>
          </cell>
        </row>
        <row r="41">
          <cell r="G41">
            <v>319.85</v>
          </cell>
        </row>
        <row r="44">
          <cell r="G44">
            <v>-8967.81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3">
          <cell r="G13">
            <v>-17.86</v>
          </cell>
        </row>
        <row r="21">
          <cell r="G21">
            <v>-13.14</v>
          </cell>
        </row>
        <row r="25">
          <cell r="G25">
            <v>-17.27</v>
          </cell>
        </row>
        <row r="27">
          <cell r="G27">
            <v>-42.9</v>
          </cell>
        </row>
        <row r="28">
          <cell r="G28">
            <v>-55.63</v>
          </cell>
        </row>
        <row r="29">
          <cell r="G29">
            <v>-9.9</v>
          </cell>
        </row>
        <row r="30">
          <cell r="G30">
            <v>-6.39</v>
          </cell>
        </row>
        <row r="31">
          <cell r="G31">
            <v>-19.96</v>
          </cell>
        </row>
        <row r="32">
          <cell r="G32">
            <v>-23.32</v>
          </cell>
        </row>
        <row r="33">
          <cell r="G33">
            <v>-7.83</v>
          </cell>
        </row>
        <row r="37">
          <cell r="G37">
            <v>-17.97</v>
          </cell>
        </row>
        <row r="39">
          <cell r="G39">
            <v>-68.45</v>
          </cell>
        </row>
        <row r="42">
          <cell r="G42">
            <v>-70.84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E11">
            <v>-209016.13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1">
          <cell r="G11">
            <v>-514.89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0">
      <selection activeCell="O32" sqref="O32"/>
    </sheetView>
  </sheetViews>
  <sheetFormatPr defaultColWidth="9.00390625" defaultRowHeight="12.75" outlineLevelRow="1" outlineLevelCol="1"/>
  <cols>
    <col min="1" max="1" width="26.625" style="0" customWidth="1"/>
    <col min="2" max="2" width="10.25390625" style="0" hidden="1" customWidth="1" outlineLevel="1"/>
    <col min="3" max="3" width="10.125" style="0" bestFit="1" customWidth="1" collapsed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0" t="s">
        <v>46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16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3260.9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846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4106.9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234.1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 aca="true" t="shared" si="0" ref="E15:E24"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1" ref="K15:K25">I15+J15</f>
        <v>0</v>
      </c>
      <c r="L15" s="25">
        <f aca="true" t="shared" si="2" ref="L15:L27">C15+F15-I15</f>
        <v>0</v>
      </c>
      <c r="M15" s="25">
        <f aca="true" t="shared" si="3" ref="M15:M27">D15+G15-J15</f>
        <v>0</v>
      </c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 t="shared" si="0"/>
        <v>0</v>
      </c>
      <c r="F16" s="25"/>
      <c r="G16" s="25"/>
      <c r="H16" s="63">
        <f>F16+G16</f>
        <v>0</v>
      </c>
      <c r="I16" s="25"/>
      <c r="J16" s="26"/>
      <c r="K16" s="63">
        <f t="shared" si="1"/>
        <v>0</v>
      </c>
      <c r="L16" s="25">
        <f t="shared" si="2"/>
        <v>0</v>
      </c>
      <c r="M16" s="25">
        <f t="shared" si="3"/>
        <v>0</v>
      </c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4168.969999999999</v>
      </c>
      <c r="D17" s="25">
        <v>0</v>
      </c>
      <c r="E17" s="61">
        <f t="shared" si="0"/>
        <v>4168.969999999999</v>
      </c>
      <c r="F17" s="40">
        <f>'[1]TDSheet'!$G$14</f>
        <v>16240.28</v>
      </c>
      <c r="G17" s="25"/>
      <c r="H17" s="63">
        <f aca="true" t="shared" si="4" ref="H17:H25">F17+G17</f>
        <v>16240.28</v>
      </c>
      <c r="I17" s="25">
        <f>'[2]TDSheet'!$K$38</f>
        <v>17843.04</v>
      </c>
      <c r="J17" s="26"/>
      <c r="K17" s="63">
        <f t="shared" si="1"/>
        <v>17843.04</v>
      </c>
      <c r="L17" s="25">
        <f t="shared" si="2"/>
        <v>2566.209999999999</v>
      </c>
      <c r="M17" s="25">
        <f t="shared" si="3"/>
        <v>0</v>
      </c>
      <c r="N17" s="61">
        <f>L17+M17</f>
        <v>2566.209999999999</v>
      </c>
      <c r="O17" s="56">
        <v>16375.37</v>
      </c>
    </row>
    <row r="18" spans="1:15" ht="12.75">
      <c r="A18" s="38" t="s">
        <v>13</v>
      </c>
      <c r="B18" s="67"/>
      <c r="C18" s="25">
        <v>41186.57000000001</v>
      </c>
      <c r="D18" s="25">
        <v>0</v>
      </c>
      <c r="E18" s="61">
        <f t="shared" si="0"/>
        <v>41186.57000000001</v>
      </c>
      <c r="F18" s="25">
        <f>'[1]TDSheet'!$J$14</f>
        <v>135206.52</v>
      </c>
      <c r="G18" s="25"/>
      <c r="H18" s="63">
        <f t="shared" si="4"/>
        <v>135206.52</v>
      </c>
      <c r="I18" s="25">
        <f>'[2]TDSheet'!$P$38</f>
        <v>144465.73</v>
      </c>
      <c r="J18" s="26"/>
      <c r="K18" s="63">
        <f t="shared" si="1"/>
        <v>144465.73</v>
      </c>
      <c r="L18" s="25">
        <f t="shared" si="2"/>
        <v>31927.359999999986</v>
      </c>
      <c r="M18" s="25">
        <f t="shared" si="3"/>
        <v>0</v>
      </c>
      <c r="N18" s="61">
        <f>L18+M18</f>
        <v>31927.359999999986</v>
      </c>
      <c r="O18" s="56">
        <v>118168.15</v>
      </c>
    </row>
    <row r="19" spans="1:15" ht="12.75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0"/>
        <v>0</v>
      </c>
      <c r="F19" s="25"/>
      <c r="G19" s="25"/>
      <c r="H19" s="63">
        <f t="shared" si="4"/>
        <v>0</v>
      </c>
      <c r="I19" s="25"/>
      <c r="J19" s="26"/>
      <c r="K19" s="63">
        <f t="shared" si="1"/>
        <v>0</v>
      </c>
      <c r="L19" s="25">
        <f t="shared" si="2"/>
        <v>0</v>
      </c>
      <c r="M19" s="25">
        <f t="shared" si="3"/>
        <v>0</v>
      </c>
      <c r="N19" s="61">
        <f aca="true" t="shared" si="5" ref="N19:N27">L19+M19</f>
        <v>0</v>
      </c>
      <c r="O19" s="56"/>
    </row>
    <row r="20" spans="1:15" ht="24" collapsed="1">
      <c r="A20" s="38" t="s">
        <v>8</v>
      </c>
      <c r="B20" s="67"/>
      <c r="C20" s="25">
        <v>167983.97000000003</v>
      </c>
      <c r="D20" s="25">
        <v>10853.570000000007</v>
      </c>
      <c r="E20" s="61">
        <f t="shared" si="0"/>
        <v>178837.54000000004</v>
      </c>
      <c r="F20" s="25">
        <f>'[1]TDSheet'!$H$14</f>
        <v>482482.8</v>
      </c>
      <c r="G20" s="25">
        <f>'[17]начисление НЖП'!$B$10+'[17]начисление НЖП'!$K$10</f>
        <v>141090.39951473582</v>
      </c>
      <c r="H20" s="63">
        <f t="shared" si="4"/>
        <v>623573.1995147358</v>
      </c>
      <c r="I20" s="25">
        <f>'[2]TDSheet'!$D$38+'[2]TDSheet'!$N$38</f>
        <v>540899.48</v>
      </c>
      <c r="J20" s="26">
        <f>'[17]начисление НЖП'!$C$10+'[17]начисление НЖП'!$L$10</f>
        <v>140154.46221098</v>
      </c>
      <c r="K20" s="63">
        <f t="shared" si="1"/>
        <v>681053.94221098</v>
      </c>
      <c r="L20" s="25">
        <f t="shared" si="2"/>
        <v>109567.29000000004</v>
      </c>
      <c r="M20" s="25">
        <f t="shared" si="3"/>
        <v>11789.507303755818</v>
      </c>
      <c r="N20" s="61">
        <f t="shared" si="5"/>
        <v>121356.79730375585</v>
      </c>
      <c r="O20" s="56">
        <f>845103.28-O14-O17-O18-O21-O24-O25</f>
        <v>526146.04</v>
      </c>
    </row>
    <row r="21" spans="1:15" ht="12.75">
      <c r="A21" s="38" t="s">
        <v>10</v>
      </c>
      <c r="B21" s="67"/>
      <c r="C21" s="25">
        <v>0</v>
      </c>
      <c r="D21" s="25">
        <v>14965.129999999976</v>
      </c>
      <c r="E21" s="61">
        <f t="shared" si="0"/>
        <v>14965.129999999976</v>
      </c>
      <c r="F21" s="25"/>
      <c r="G21" s="25">
        <f>'[17]коммунНЖП'!$E$121</f>
        <v>197085.31</v>
      </c>
      <c r="H21" s="63">
        <f t="shared" si="4"/>
        <v>197085.31</v>
      </c>
      <c r="I21" s="25"/>
      <c r="J21" s="26">
        <f>'[17]коммунНЖП'!$F$121</f>
        <v>199310.14</v>
      </c>
      <c r="K21" s="63">
        <f t="shared" si="1"/>
        <v>199310.14</v>
      </c>
      <c r="L21" s="25">
        <f t="shared" si="2"/>
        <v>0</v>
      </c>
      <c r="M21" s="25">
        <f t="shared" si="3"/>
        <v>12740.29999999996</v>
      </c>
      <c r="N21" s="61">
        <f t="shared" si="5"/>
        <v>12740.29999999996</v>
      </c>
      <c r="O21" s="56">
        <v>184413.72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0"/>
        <v>0</v>
      </c>
      <c r="F22" s="25"/>
      <c r="G22" s="25"/>
      <c r="H22" s="63">
        <f t="shared" si="4"/>
        <v>0</v>
      </c>
      <c r="I22" s="25"/>
      <c r="J22" s="26"/>
      <c r="K22" s="63">
        <f t="shared" si="1"/>
        <v>0</v>
      </c>
      <c r="L22" s="25">
        <f t="shared" si="2"/>
        <v>0</v>
      </c>
      <c r="M22" s="25">
        <f t="shared" si="3"/>
        <v>0</v>
      </c>
      <c r="N22" s="61">
        <f t="shared" si="5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0"/>
        <v>0</v>
      </c>
      <c r="F23" s="25"/>
      <c r="G23" s="25"/>
      <c r="H23" s="63">
        <f t="shared" si="4"/>
        <v>0</v>
      </c>
      <c r="I23" s="25"/>
      <c r="J23" s="26"/>
      <c r="K23" s="63">
        <f t="shared" si="1"/>
        <v>0</v>
      </c>
      <c r="L23" s="25">
        <f t="shared" si="2"/>
        <v>0</v>
      </c>
      <c r="M23" s="25">
        <f t="shared" si="3"/>
        <v>0</v>
      </c>
      <c r="N23" s="61">
        <f t="shared" si="5"/>
        <v>0</v>
      </c>
      <c r="O23" s="56"/>
    </row>
    <row r="24" spans="1:15" ht="12.75" collapsed="1">
      <c r="A24" s="38" t="s">
        <v>25</v>
      </c>
      <c r="B24" s="67"/>
      <c r="C24" s="25">
        <v>1269.4099999999999</v>
      </c>
      <c r="D24" s="25">
        <v>0</v>
      </c>
      <c r="E24" s="61">
        <f t="shared" si="0"/>
        <v>1269.4099999999999</v>
      </c>
      <c r="F24" s="25">
        <f>'[1]TDSheet'!$L$14</f>
        <v>8217.6</v>
      </c>
      <c r="G24" s="25"/>
      <c r="H24" s="63">
        <f t="shared" si="4"/>
        <v>8217.6</v>
      </c>
      <c r="I24" s="25">
        <f>'[2]TDSheet'!$S$38</f>
        <v>7896.84</v>
      </c>
      <c r="J24" s="26"/>
      <c r="K24" s="63">
        <f t="shared" si="1"/>
        <v>7896.84</v>
      </c>
      <c r="L24" s="25">
        <f t="shared" si="2"/>
        <v>1590.17</v>
      </c>
      <c r="M24" s="25">
        <f t="shared" si="3"/>
        <v>0</v>
      </c>
      <c r="N24" s="61">
        <f t="shared" si="5"/>
        <v>1590.17</v>
      </c>
      <c r="O24" s="56"/>
    </row>
    <row r="25" spans="1:15" ht="12.75">
      <c r="A25" s="38" t="s">
        <v>18</v>
      </c>
      <c r="B25" s="67"/>
      <c r="C25" s="25"/>
      <c r="D25" s="25"/>
      <c r="E25" s="61">
        <f>SUM(C25:D25)</f>
        <v>0</v>
      </c>
      <c r="F25" s="25"/>
      <c r="G25" s="25"/>
      <c r="H25" s="63">
        <f t="shared" si="4"/>
        <v>0</v>
      </c>
      <c r="I25" s="25"/>
      <c r="J25" s="26"/>
      <c r="K25" s="63">
        <f t="shared" si="1"/>
        <v>0</v>
      </c>
      <c r="L25" s="25">
        <f t="shared" si="2"/>
        <v>0</v>
      </c>
      <c r="M25" s="25">
        <f t="shared" si="3"/>
        <v>0</v>
      </c>
      <c r="N25" s="61">
        <f t="shared" si="5"/>
        <v>0</v>
      </c>
      <c r="O25" s="56"/>
    </row>
    <row r="26" spans="1:15" ht="12.75" hidden="1" outlineLevel="1">
      <c r="A26" s="38" t="s">
        <v>27</v>
      </c>
      <c r="B26" s="67"/>
      <c r="C26" s="25"/>
      <c r="D26" s="25"/>
      <c r="E26" s="61">
        <f>SUM(C26:D26)</f>
        <v>0</v>
      </c>
      <c r="F26" s="25"/>
      <c r="G26" s="25"/>
      <c r="H26" s="63">
        <f>F26+G26</f>
        <v>0</v>
      </c>
      <c r="I26" s="25"/>
      <c r="J26" s="26"/>
      <c r="K26" s="63">
        <f>I26+J26</f>
        <v>0</v>
      </c>
      <c r="L26" s="25">
        <f t="shared" si="2"/>
        <v>0</v>
      </c>
      <c r="M26" s="25">
        <f t="shared" si="3"/>
        <v>0</v>
      </c>
      <c r="N26" s="61">
        <f t="shared" si="5"/>
        <v>0</v>
      </c>
      <c r="O26" s="56"/>
    </row>
    <row r="27" spans="1:15" ht="12.75" hidden="1" outlineLevel="1">
      <c r="A27" s="38" t="s">
        <v>11</v>
      </c>
      <c r="B27" s="67"/>
      <c r="C27" s="25"/>
      <c r="D27" s="25"/>
      <c r="E27" s="61">
        <f>SUM(C27:D27)</f>
        <v>0</v>
      </c>
      <c r="F27" s="25"/>
      <c r="G27" s="25"/>
      <c r="H27" s="63">
        <f>F27+G27</f>
        <v>0</v>
      </c>
      <c r="I27" s="25"/>
      <c r="J27" s="26"/>
      <c r="K27" s="63">
        <f>I27+J27</f>
        <v>0</v>
      </c>
      <c r="L27" s="25">
        <f t="shared" si="2"/>
        <v>0</v>
      </c>
      <c r="M27" s="25">
        <f t="shared" si="3"/>
        <v>0</v>
      </c>
      <c r="N27" s="61">
        <f t="shared" si="5"/>
        <v>0</v>
      </c>
      <c r="O27" s="56"/>
    </row>
    <row r="28" spans="1:15" ht="12.75" collapsed="1">
      <c r="A28" s="41" t="s">
        <v>12</v>
      </c>
      <c r="B28" s="68"/>
      <c r="C28" s="42">
        <f>SUM(C14:C27)</f>
        <v>214608.92000000004</v>
      </c>
      <c r="D28" s="42">
        <f>SUM(D14:D27)</f>
        <v>25818.699999999983</v>
      </c>
      <c r="E28" s="62">
        <f>SUM(C28:D28)</f>
        <v>240427.62000000002</v>
      </c>
      <c r="F28" s="43">
        <f>SUM(F14:F27)</f>
        <v>642147.2</v>
      </c>
      <c r="G28" s="42">
        <f>SUM(G14:G27)</f>
        <v>338175.70951473585</v>
      </c>
      <c r="H28" s="64">
        <f>F28+G28</f>
        <v>980322.9095147358</v>
      </c>
      <c r="I28" s="43">
        <f>SUM(I14:I27)</f>
        <v>711105.09</v>
      </c>
      <c r="J28" s="45">
        <f>SUM(J14:J27)</f>
        <v>339464.60221098</v>
      </c>
      <c r="K28" s="64">
        <f>I28+J28</f>
        <v>1050569.69221098</v>
      </c>
      <c r="L28" s="46">
        <f>SUM(L14:L27)</f>
        <v>145651.03000000003</v>
      </c>
      <c r="M28" s="44">
        <f>SUM(M14:M27)</f>
        <v>24529.807303755777</v>
      </c>
      <c r="N28" s="62">
        <f>L28+M28</f>
        <v>170180.8373037558</v>
      </c>
      <c r="O28" s="57">
        <f>SUM(O14:O27)</f>
        <v>845103.28</v>
      </c>
    </row>
    <row r="29" spans="1:15" ht="12.75">
      <c r="A29" s="12"/>
      <c r="B29" s="12"/>
      <c r="C29" s="47"/>
      <c r="D29" s="12"/>
      <c r="E29" s="12"/>
      <c r="F29" s="12"/>
      <c r="G29" s="12"/>
      <c r="H29" s="27"/>
      <c r="I29" s="12"/>
      <c r="J29" s="12"/>
      <c r="K29" s="27"/>
      <c r="L29" s="47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409.90000000000003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52"/>
      <c r="C32" s="12"/>
      <c r="D32" s="12"/>
      <c r="E32" s="12"/>
      <c r="F32" s="53">
        <v>12.36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23.12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373.7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0.72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5" customHeight="1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B12:B13"/>
    <mergeCell ref="O12:O13"/>
    <mergeCell ref="A1:L1"/>
    <mergeCell ref="A3:H3"/>
    <mergeCell ref="A4:D4"/>
    <mergeCell ref="A5:C5"/>
    <mergeCell ref="A6:D6"/>
    <mergeCell ref="A7:D7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02"/>
  <sheetViews>
    <sheetView zoomScalePageLayoutView="0" workbookViewId="0" topLeftCell="A13">
      <selection activeCell="R13" sqref="R13"/>
    </sheetView>
  </sheetViews>
  <sheetFormatPr defaultColWidth="9.00390625" defaultRowHeight="12.75" outlineLevelRow="1" outlineLevelCol="1"/>
  <cols>
    <col min="1" max="1" width="17.25390625" style="0" customWidth="1"/>
    <col min="2" max="2" width="14.00390625" style="0" hidden="1" customWidth="1" outlineLevel="1"/>
    <col min="3" max="3" width="10.125" style="0" bestFit="1" customWidth="1" collapsed="1"/>
    <col min="4" max="4" width="10.375" style="0" customWidth="1"/>
    <col min="6" max="6" width="10.125" style="0" bestFit="1" customWidth="1"/>
    <col min="9" max="9" width="10.125" style="0" bestFit="1" customWidth="1"/>
    <col min="12" max="12" width="10.753906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79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24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2143.8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753.3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2897.1000000000004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39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292.6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ollapsed="1">
      <c r="A16" s="39" t="s">
        <v>9</v>
      </c>
      <c r="B16" s="67"/>
      <c r="C16" s="25">
        <v>-2886.5</v>
      </c>
      <c r="D16" s="25">
        <v>0</v>
      </c>
      <c r="E16" s="61">
        <f>SUM(C16:D16)</f>
        <v>-2886.5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-2886.5</v>
      </c>
      <c r="M16" s="25">
        <f t="shared" si="1"/>
        <v>0</v>
      </c>
      <c r="N16" s="61">
        <f t="shared" si="2"/>
        <v>-2886.5</v>
      </c>
      <c r="O16" s="56"/>
    </row>
    <row r="17" spans="1:15" ht="12.75">
      <c r="A17" s="39" t="s">
        <v>16</v>
      </c>
      <c r="B17" s="67"/>
      <c r="C17" s="25">
        <v>-156.43</v>
      </c>
      <c r="D17" s="25">
        <v>0</v>
      </c>
      <c r="E17" s="61">
        <f>SUM(C17:D17)</f>
        <v>-156.43</v>
      </c>
      <c r="F17" s="40"/>
      <c r="G17" s="25"/>
      <c r="H17" s="63">
        <f aca="true" t="shared" si="3" ref="H17:H27">F17+G17</f>
        <v>0</v>
      </c>
      <c r="I17" s="25">
        <f>'[2]TDSheet'!$K$37</f>
        <v>13.63</v>
      </c>
      <c r="J17" s="26"/>
      <c r="K17" s="63">
        <f t="shared" si="0"/>
        <v>13.63</v>
      </c>
      <c r="L17" s="25">
        <f t="shared" si="1"/>
        <v>-170.06</v>
      </c>
      <c r="M17" s="25">
        <f t="shared" si="1"/>
        <v>0</v>
      </c>
      <c r="N17" s="61">
        <f t="shared" si="2"/>
        <v>-170.06</v>
      </c>
      <c r="O17" s="56"/>
    </row>
    <row r="18" spans="1:15" ht="24">
      <c r="A18" s="38" t="s">
        <v>13</v>
      </c>
      <c r="B18" s="67"/>
      <c r="C18" s="25">
        <v>22331.62000000001</v>
      </c>
      <c r="D18" s="25">
        <v>0</v>
      </c>
      <c r="E18" s="61">
        <f aca="true" t="shared" si="4" ref="E18:E27">SUM(C18:D18)</f>
        <v>22331.62000000001</v>
      </c>
      <c r="F18" s="25">
        <f>'[1]TDSheet'!$J$38+'[4]TDSheet'!$G$33</f>
        <v>95956.68</v>
      </c>
      <c r="G18" s="25"/>
      <c r="H18" s="63">
        <f t="shared" si="3"/>
        <v>95956.68</v>
      </c>
      <c r="I18" s="25">
        <f>'[2]TDSheet'!$P$37</f>
        <v>95561.06</v>
      </c>
      <c r="J18" s="26"/>
      <c r="K18" s="63">
        <f t="shared" si="0"/>
        <v>95561.06</v>
      </c>
      <c r="L18" s="25">
        <f t="shared" si="1"/>
        <v>22727.240000000005</v>
      </c>
      <c r="M18" s="25">
        <f t="shared" si="1"/>
        <v>0</v>
      </c>
      <c r="N18" s="61">
        <f t="shared" si="2"/>
        <v>22727.240000000005</v>
      </c>
      <c r="O18" s="56">
        <v>82186.4</v>
      </c>
    </row>
    <row r="19" spans="1:15" ht="24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36" collapsed="1">
      <c r="A20" s="38" t="s">
        <v>8</v>
      </c>
      <c r="B20" s="67"/>
      <c r="C20" s="25">
        <v>87506.08999999991</v>
      </c>
      <c r="D20" s="25">
        <v>29776.809999999983</v>
      </c>
      <c r="E20" s="61">
        <f t="shared" si="4"/>
        <v>117282.89999999989</v>
      </c>
      <c r="F20" s="25">
        <f>'[1]TDSheet'!$H$38+'[6]TDSheet'!$G$38</f>
        <v>317196.84</v>
      </c>
      <c r="G20" s="25">
        <f>'[17]начисление НЖП'!$B$34+'[17]начисление НЖП'!$K$34</f>
        <v>123944.30323459084</v>
      </c>
      <c r="H20" s="63">
        <f t="shared" si="3"/>
        <v>441141.1432345909</v>
      </c>
      <c r="I20" s="25">
        <f>'[2]TDSheet'!$D$37+'[2]TDSheet'!$E$37+'[2]TDSheet'!$N$37</f>
        <v>317766.11000000004</v>
      </c>
      <c r="J20" s="26">
        <f>'[17]начисление НЖП'!$C$34+'[17]начисление НЖП'!$L$34</f>
        <v>133076.9719256447</v>
      </c>
      <c r="K20" s="63">
        <f t="shared" si="0"/>
        <v>450843.0819256448</v>
      </c>
      <c r="L20" s="25">
        <f t="shared" si="1"/>
        <v>86936.81999999989</v>
      </c>
      <c r="M20" s="25">
        <f t="shared" si="1"/>
        <v>20644.141308946128</v>
      </c>
      <c r="N20" s="61">
        <f t="shared" si="2"/>
        <v>107580.96130894602</v>
      </c>
      <c r="O20" s="56">
        <f>885673.25-O14-O15-O16-O17-O18-O19-O21-O22-O23-O24-O25-O26-O27</f>
        <v>803430.0399999999</v>
      </c>
    </row>
    <row r="21" spans="1:15" ht="12.75">
      <c r="A21" s="38" t="s">
        <v>10</v>
      </c>
      <c r="B21" s="67"/>
      <c r="C21" s="25">
        <v>422.8499999999999</v>
      </c>
      <c r="D21" s="25">
        <v>0</v>
      </c>
      <c r="E21" s="61">
        <f t="shared" si="4"/>
        <v>422.8499999999999</v>
      </c>
      <c r="F21" s="25"/>
      <c r="G21" s="25"/>
      <c r="H21" s="63">
        <f t="shared" si="3"/>
        <v>0</v>
      </c>
      <c r="I21" s="25">
        <f>'[2]TDSheet'!$Q$37</f>
        <v>1353.77</v>
      </c>
      <c r="J21" s="26"/>
      <c r="K21" s="63">
        <f t="shared" si="0"/>
        <v>1353.77</v>
      </c>
      <c r="L21" s="25">
        <f t="shared" si="1"/>
        <v>-930.9200000000001</v>
      </c>
      <c r="M21" s="25">
        <f t="shared" si="1"/>
        <v>0</v>
      </c>
      <c r="N21" s="61">
        <f t="shared" si="2"/>
        <v>-930.9200000000001</v>
      </c>
      <c r="O21" s="56">
        <v>56.81</v>
      </c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480.49000000000024</v>
      </c>
      <c r="D24" s="25">
        <v>0</v>
      </c>
      <c r="E24" s="61">
        <f t="shared" si="4"/>
        <v>480.49000000000024</v>
      </c>
      <c r="F24" s="25">
        <f>'[1]TDSheet'!$L$38+'[7]TDSheet'!$G$36</f>
        <v>5402.52</v>
      </c>
      <c r="G24" s="25"/>
      <c r="H24" s="63">
        <f t="shared" si="3"/>
        <v>5402.52</v>
      </c>
      <c r="I24" s="25">
        <f>'[2]TDSheet'!$S$37</f>
        <v>4664.46</v>
      </c>
      <c r="J24" s="26"/>
      <c r="K24" s="63">
        <f t="shared" si="0"/>
        <v>4664.46</v>
      </c>
      <c r="L24" s="25">
        <f t="shared" si="1"/>
        <v>1218.5500000000002</v>
      </c>
      <c r="M24" s="25">
        <f t="shared" si="1"/>
        <v>0</v>
      </c>
      <c r="N24" s="61">
        <f t="shared" si="2"/>
        <v>1218.5500000000002</v>
      </c>
      <c r="O24" s="56"/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>
        <v>0</v>
      </c>
      <c r="D26" s="25">
        <v>0</v>
      </c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ollapsed="1">
      <c r="A27" s="38" t="s">
        <v>11</v>
      </c>
      <c r="B27" s="67"/>
      <c r="C27" s="25">
        <v>231321.99000000002</v>
      </c>
      <c r="D27" s="25">
        <v>0</v>
      </c>
      <c r="E27" s="61">
        <f t="shared" si="4"/>
        <v>231321.99000000002</v>
      </c>
      <c r="F27" s="25">
        <f>'[8]TDSheet'!$E$11</f>
        <v>-209016.13</v>
      </c>
      <c r="G27" s="25"/>
      <c r="H27" s="63">
        <f t="shared" si="3"/>
        <v>-209016.13</v>
      </c>
      <c r="I27" s="25">
        <f>'[2]TDSheet'!$M$37</f>
        <v>11558.87</v>
      </c>
      <c r="J27" s="26"/>
      <c r="K27" s="63">
        <f t="shared" si="0"/>
        <v>11558.87</v>
      </c>
      <c r="L27" s="25">
        <f t="shared" si="1"/>
        <v>10746.990000000014</v>
      </c>
      <c r="M27" s="25">
        <f t="shared" si="1"/>
        <v>0</v>
      </c>
      <c r="N27" s="61">
        <f t="shared" si="2"/>
        <v>10746.990000000014</v>
      </c>
      <c r="O27" s="56"/>
    </row>
    <row r="28" spans="1:15" ht="12.75">
      <c r="A28" s="41" t="s">
        <v>12</v>
      </c>
      <c r="B28" s="68"/>
      <c r="C28" s="42">
        <f>SUM(C14:C27)</f>
        <v>339020.1099999999</v>
      </c>
      <c r="D28" s="42">
        <f>SUM(D14:D27)</f>
        <v>29776.809999999983</v>
      </c>
      <c r="E28" s="62">
        <f>SUM(C28:D28)</f>
        <v>368796.9199999999</v>
      </c>
      <c r="F28" s="43">
        <f>SUM(F14:F27)</f>
        <v>209539.91000000003</v>
      </c>
      <c r="G28" s="42">
        <f>SUM(G14:G27)</f>
        <v>123944.30323459084</v>
      </c>
      <c r="H28" s="64">
        <f>F28+G28</f>
        <v>333484.2132345909</v>
      </c>
      <c r="I28" s="43">
        <f>SUM(I14:I27)</f>
        <v>430917.9000000001</v>
      </c>
      <c r="J28" s="45">
        <f>SUM(J14:J27)</f>
        <v>133076.9719256447</v>
      </c>
      <c r="K28" s="64">
        <f>I28+J28</f>
        <v>563994.8719256448</v>
      </c>
      <c r="L28" s="46">
        <f>SUM(L14:L27)</f>
        <v>117642.11999999992</v>
      </c>
      <c r="M28" s="44">
        <f>SUM(M14:M27)</f>
        <v>20644.141308946128</v>
      </c>
      <c r="N28" s="62">
        <f>L28+M28</f>
        <v>138286.26130894606</v>
      </c>
      <c r="O28" s="57">
        <f>SUM(O14:O27)</f>
        <v>885673.25</v>
      </c>
    </row>
    <row r="29" spans="1:15" ht="12.75">
      <c r="A29" s="12"/>
      <c r="B29" s="12"/>
      <c r="C29" s="47"/>
      <c r="D29" s="12"/>
      <c r="E29" s="12"/>
      <c r="F29" s="47"/>
      <c r="G29" s="12"/>
      <c r="H29" s="27"/>
      <c r="I29" s="47"/>
      <c r="J29" s="12"/>
      <c r="K29" s="27"/>
      <c r="L29" s="47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344189.13999999996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8.72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10000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319736.31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263.6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13580.51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600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22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A1">
      <selection activeCell="R13" sqref="R13"/>
    </sheetView>
  </sheetViews>
  <sheetFormatPr defaultColWidth="9.00390625" defaultRowHeight="12.75" outlineLevelRow="1" outlineLevelCol="1"/>
  <cols>
    <col min="1" max="1" width="17.25390625" style="0" customWidth="1"/>
    <col min="2" max="2" width="13.25390625" style="0" hidden="1" customWidth="1" outlineLevel="1"/>
    <col min="3" max="3" width="9.125" style="0" customWidth="1" collapsed="1"/>
    <col min="4" max="4" width="10.375" style="0" customWidth="1"/>
  </cols>
  <sheetData>
    <row r="1" spans="1:15" ht="13.5" customHeight="1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78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/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/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/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/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/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3218.3499999999995</v>
      </c>
      <c r="D17" s="25">
        <v>0</v>
      </c>
      <c r="E17" s="61">
        <f>SUM(C17:D17)</f>
        <v>3218.3499999999995</v>
      </c>
      <c r="F17" s="40"/>
      <c r="G17" s="25"/>
      <c r="H17" s="63">
        <f aca="true" t="shared" si="3" ref="H17:H27">F17+G17</f>
        <v>0</v>
      </c>
      <c r="I17" s="25">
        <f>'[2]TDSheet'!$K$42</f>
        <v>1856.88</v>
      </c>
      <c r="J17" s="26"/>
      <c r="K17" s="63">
        <f t="shared" si="0"/>
        <v>1856.88</v>
      </c>
      <c r="L17" s="25">
        <f t="shared" si="1"/>
        <v>1361.4699999999993</v>
      </c>
      <c r="M17" s="25">
        <f t="shared" si="1"/>
        <v>0</v>
      </c>
      <c r="N17" s="61">
        <f t="shared" si="2"/>
        <v>1361.4699999999993</v>
      </c>
      <c r="O17" s="56"/>
    </row>
    <row r="18" spans="1:15" ht="24">
      <c r="A18" s="38" t="s">
        <v>13</v>
      </c>
      <c r="B18" s="67"/>
      <c r="C18" s="25">
        <v>5356.02</v>
      </c>
      <c r="D18" s="25">
        <v>0</v>
      </c>
      <c r="E18" s="61">
        <f aca="true" t="shared" si="4" ref="E18:E27">SUM(C18:D18)</f>
        <v>5356.02</v>
      </c>
      <c r="F18" s="25"/>
      <c r="G18" s="25"/>
      <c r="H18" s="63">
        <f t="shared" si="3"/>
        <v>0</v>
      </c>
      <c r="I18" s="25">
        <f>'[2]TDSheet'!$P$42</f>
        <v>5092.92</v>
      </c>
      <c r="J18" s="26"/>
      <c r="K18" s="63">
        <f t="shared" si="0"/>
        <v>5092.92</v>
      </c>
      <c r="L18" s="25">
        <f t="shared" si="1"/>
        <v>263.10000000000036</v>
      </c>
      <c r="M18" s="25">
        <f t="shared" si="1"/>
        <v>0</v>
      </c>
      <c r="N18" s="61">
        <f t="shared" si="2"/>
        <v>263.10000000000036</v>
      </c>
      <c r="O18" s="56"/>
    </row>
    <row r="19" spans="1:15" ht="24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36" collapsed="1">
      <c r="A20" s="38" t="s">
        <v>8</v>
      </c>
      <c r="B20" s="67"/>
      <c r="C20" s="25">
        <v>43853.40999999999</v>
      </c>
      <c r="D20" s="25">
        <v>34377.25</v>
      </c>
      <c r="E20" s="61">
        <f t="shared" si="4"/>
        <v>78230.65999999999</v>
      </c>
      <c r="F20" s="25"/>
      <c r="G20" s="25"/>
      <c r="H20" s="63">
        <f t="shared" si="3"/>
        <v>0</v>
      </c>
      <c r="I20" s="25">
        <f>'[2]TDSheet'!$D$42+'[2]TDSheet'!$E$42+'[2]TDSheet'!$N$42</f>
        <v>32655.3</v>
      </c>
      <c r="J20" s="26"/>
      <c r="K20" s="63">
        <f t="shared" si="0"/>
        <v>32655.3</v>
      </c>
      <c r="L20" s="25">
        <f t="shared" si="1"/>
        <v>11198.10999999999</v>
      </c>
      <c r="M20" s="25">
        <f t="shared" si="1"/>
        <v>34377.25</v>
      </c>
      <c r="N20" s="61">
        <f t="shared" si="2"/>
        <v>45575.359999999986</v>
      </c>
      <c r="O20" s="56"/>
    </row>
    <row r="21" spans="1:15" ht="12.75">
      <c r="A21" s="38" t="s">
        <v>10</v>
      </c>
      <c r="B21" s="67"/>
      <c r="C21" s="25">
        <v>13568.599999999999</v>
      </c>
      <c r="D21" s="25">
        <v>2613.74</v>
      </c>
      <c r="E21" s="61">
        <f t="shared" si="4"/>
        <v>16182.339999999998</v>
      </c>
      <c r="F21" s="25"/>
      <c r="G21" s="25"/>
      <c r="H21" s="63">
        <f t="shared" si="3"/>
        <v>0</v>
      </c>
      <c r="I21" s="25">
        <f>'[2]TDSheet'!$Q$42+'[2]TDSheet'!$F$42</f>
        <v>26813.25</v>
      </c>
      <c r="J21" s="26"/>
      <c r="K21" s="63">
        <f t="shared" si="0"/>
        <v>26813.25</v>
      </c>
      <c r="L21" s="25">
        <f t="shared" si="1"/>
        <v>-13244.650000000001</v>
      </c>
      <c r="M21" s="25">
        <f t="shared" si="1"/>
        <v>2613.74</v>
      </c>
      <c r="N21" s="61">
        <f t="shared" si="2"/>
        <v>-10630.910000000002</v>
      </c>
      <c r="O21" s="56"/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0</v>
      </c>
      <c r="D24" s="25">
        <v>0</v>
      </c>
      <c r="E24" s="61">
        <f t="shared" si="4"/>
        <v>0</v>
      </c>
      <c r="F24" s="25"/>
      <c r="G24" s="25"/>
      <c r="H24" s="63">
        <f t="shared" si="3"/>
        <v>0</v>
      </c>
      <c r="I24" s="25"/>
      <c r="J24" s="26"/>
      <c r="K24" s="63">
        <f t="shared" si="0"/>
        <v>0</v>
      </c>
      <c r="L24" s="25">
        <f t="shared" si="1"/>
        <v>0</v>
      </c>
      <c r="M24" s="25">
        <f t="shared" si="1"/>
        <v>0</v>
      </c>
      <c r="N24" s="61">
        <f t="shared" si="2"/>
        <v>0</v>
      </c>
      <c r="O24" s="56"/>
    </row>
    <row r="25" spans="1:15" ht="12.75" customHeight="1" hidden="1" outlineLevel="1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>
        <v>0</v>
      </c>
      <c r="D26" s="25">
        <v>0</v>
      </c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ollapsed="1">
      <c r="A27" s="38" t="s">
        <v>11</v>
      </c>
      <c r="B27" s="67"/>
      <c r="C27" s="25">
        <v>5773.6600000000035</v>
      </c>
      <c r="D27" s="25">
        <v>0</v>
      </c>
      <c r="E27" s="61">
        <f t="shared" si="4"/>
        <v>5773.6600000000035</v>
      </c>
      <c r="F27" s="25"/>
      <c r="G27" s="25"/>
      <c r="H27" s="63">
        <f t="shared" si="3"/>
        <v>0</v>
      </c>
      <c r="I27" s="25">
        <f>'[2]TDSheet'!$M$42</f>
        <v>1721.62</v>
      </c>
      <c r="J27" s="26"/>
      <c r="K27" s="63">
        <f t="shared" si="0"/>
        <v>1721.62</v>
      </c>
      <c r="L27" s="25">
        <f t="shared" si="1"/>
        <v>4052.0400000000036</v>
      </c>
      <c r="M27" s="25">
        <f t="shared" si="1"/>
        <v>0</v>
      </c>
      <c r="N27" s="61">
        <f t="shared" si="2"/>
        <v>4052.0400000000036</v>
      </c>
      <c r="O27" s="56"/>
    </row>
    <row r="28" spans="1:15" ht="12.75">
      <c r="A28" s="41" t="s">
        <v>12</v>
      </c>
      <c r="B28" s="68"/>
      <c r="C28" s="42">
        <f>SUM(C14:C27)</f>
        <v>71770.03999999998</v>
      </c>
      <c r="D28" s="42">
        <f>SUM(D14:D27)</f>
        <v>36990.99</v>
      </c>
      <c r="E28" s="62">
        <f>SUM(C28:D28)</f>
        <v>108761.02999999997</v>
      </c>
      <c r="F28" s="43">
        <f>SUM(F14:F27)</f>
        <v>0</v>
      </c>
      <c r="G28" s="42">
        <f>SUM(G14:G27)</f>
        <v>0</v>
      </c>
      <c r="H28" s="64">
        <f>F28+G28</f>
        <v>0</v>
      </c>
      <c r="I28" s="43">
        <f>SUM(I14:I27)</f>
        <v>68139.97</v>
      </c>
      <c r="J28" s="45">
        <f>SUM(J14:J27)</f>
        <v>0</v>
      </c>
      <c r="K28" s="64">
        <f>I28+J28</f>
        <v>68139.97</v>
      </c>
      <c r="L28" s="46">
        <f>SUM(L14:L27)</f>
        <v>3630.0699999999915</v>
      </c>
      <c r="M28" s="44">
        <f>SUM(M14:M27)</f>
        <v>36990.99</v>
      </c>
      <c r="N28" s="62">
        <f>L28+M28</f>
        <v>40621.05999999999</v>
      </c>
      <c r="O28" s="57">
        <f>SUM(O14:O27)</f>
        <v>0</v>
      </c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hidden="1" outlineLevel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 hidden="1" outlineLevel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 hidden="1" outlineLevel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hidden="1" outlineLevel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 hidden="1" outlineLevel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 hidden="1" outlineLevel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hidden="1" outlineLevel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 hidden="1" outlineLevel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 hidden="1" outlineLevel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 hidden="1" outlineLevel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</sheetData>
  <sheetProtection/>
  <mergeCells count="17">
    <mergeCell ref="L12:N12"/>
    <mergeCell ref="A3:H3"/>
    <mergeCell ref="A4:D4"/>
    <mergeCell ref="A5:C5"/>
    <mergeCell ref="A6:D6"/>
    <mergeCell ref="A7:D7"/>
    <mergeCell ref="I12:K12"/>
    <mergeCell ref="B12:B13"/>
    <mergeCell ref="A1:O1"/>
    <mergeCell ref="O12:O13"/>
    <mergeCell ref="A8:E8"/>
    <mergeCell ref="A9:E9"/>
    <mergeCell ref="A10:K10"/>
    <mergeCell ref="M10:N10"/>
    <mergeCell ref="A12:A13"/>
    <mergeCell ref="C12:E12"/>
    <mergeCell ref="F12:H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5">
      <selection activeCell="R13" sqref="R13"/>
    </sheetView>
  </sheetViews>
  <sheetFormatPr defaultColWidth="9.00390625" defaultRowHeight="12.75" outlineLevelRow="1" outlineLevelCol="1"/>
  <cols>
    <col min="1" max="1" width="23.75390625" style="0" customWidth="1"/>
    <col min="2" max="2" width="11.875" style="0" hidden="1" customWidth="1" outlineLevel="1"/>
    <col min="3" max="3" width="9.125" style="0" customWidth="1" collapsed="1"/>
    <col min="6" max="6" width="10.125" style="0" bestFit="1" customWidth="1"/>
    <col min="9" max="9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77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24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2909.4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F5+F6</f>
        <v>2909.4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55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559.4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>C16+F16-I16</f>
        <v>0</v>
      </c>
      <c r="M16" s="25"/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211.60000000000036</v>
      </c>
      <c r="D17" s="25"/>
      <c r="E17" s="61">
        <f>SUM(C17:D17)</f>
        <v>211.60000000000036</v>
      </c>
      <c r="F17" s="40">
        <f>'[1]TDSheet'!$G$34+'[3]TDSheet'!$G$30</f>
        <v>5906.46</v>
      </c>
      <c r="G17" s="25"/>
      <c r="H17" s="63">
        <f aca="true" t="shared" si="1" ref="H17:H27">F17+G17</f>
        <v>5906.46</v>
      </c>
      <c r="I17" s="25">
        <f>'[2]TDSheet'!$K$27</f>
        <v>6588.01</v>
      </c>
      <c r="J17" s="26"/>
      <c r="K17" s="63">
        <f t="shared" si="0"/>
        <v>6588.01</v>
      </c>
      <c r="L17" s="25">
        <f>C17+F17-I17</f>
        <v>-469.9499999999998</v>
      </c>
      <c r="M17" s="25"/>
      <c r="N17" s="61">
        <f>L17+M17</f>
        <v>-469.9499999999998</v>
      </c>
      <c r="O17" s="56">
        <v>14674.1</v>
      </c>
    </row>
    <row r="18" spans="1:15" ht="24" customHeight="1" hidden="1" outlineLevel="1">
      <c r="A18" s="38" t="s">
        <v>13</v>
      </c>
      <c r="B18" s="67"/>
      <c r="C18" s="25">
        <v>0</v>
      </c>
      <c r="D18" s="25"/>
      <c r="E18" s="61">
        <f aca="true" t="shared" si="2" ref="E18:E27">SUM(C18:D18)</f>
        <v>0</v>
      </c>
      <c r="F18" s="25"/>
      <c r="G18" s="25"/>
      <c r="H18" s="63">
        <f t="shared" si="1"/>
        <v>0</v>
      </c>
      <c r="I18" s="25"/>
      <c r="J18" s="26"/>
      <c r="K18" s="63">
        <f t="shared" si="0"/>
        <v>0</v>
      </c>
      <c r="L18" s="25">
        <f aca="true" t="shared" si="3" ref="L18:M27">C18+F18-I18</f>
        <v>0</v>
      </c>
      <c r="M18" s="25"/>
      <c r="N18" s="61">
        <f>L18+M18</f>
        <v>0</v>
      </c>
      <c r="O18" s="56"/>
    </row>
    <row r="19" spans="1:15" ht="24" customHeight="1" hidden="1" outlineLevel="1">
      <c r="A19" s="38" t="s">
        <v>15</v>
      </c>
      <c r="B19" s="67"/>
      <c r="C19" s="25">
        <v>0</v>
      </c>
      <c r="D19" s="25"/>
      <c r="E19" s="61">
        <f t="shared" si="2"/>
        <v>0</v>
      </c>
      <c r="F19" s="25"/>
      <c r="G19" s="25"/>
      <c r="H19" s="63">
        <f t="shared" si="1"/>
        <v>0</v>
      </c>
      <c r="I19" s="25"/>
      <c r="J19" s="26"/>
      <c r="K19" s="63">
        <f t="shared" si="0"/>
        <v>0</v>
      </c>
      <c r="L19" s="25">
        <f t="shared" si="3"/>
        <v>0</v>
      </c>
      <c r="M19" s="25"/>
      <c r="N19" s="61">
        <f aca="true" t="shared" si="4" ref="N19:N27">L19+M19</f>
        <v>0</v>
      </c>
      <c r="O19" s="56"/>
    </row>
    <row r="20" spans="1:15" ht="24" collapsed="1">
      <c r="A20" s="38" t="s">
        <v>8</v>
      </c>
      <c r="B20" s="67"/>
      <c r="C20" s="25">
        <v>14579.549999999988</v>
      </c>
      <c r="D20" s="25">
        <v>-102.99000000000001</v>
      </c>
      <c r="E20" s="61">
        <f t="shared" si="2"/>
        <v>14476.559999999989</v>
      </c>
      <c r="F20" s="25">
        <f>'[1]TDSheet'!$H$34+'[6]TDSheet'!$G$34</f>
        <v>426297.92</v>
      </c>
      <c r="G20" s="25">
        <f>'[17]начисление НЖП'!$K$30</f>
        <v>6456.8004938450895</v>
      </c>
      <c r="H20" s="63">
        <f t="shared" si="1"/>
        <v>432754.72049384506</v>
      </c>
      <c r="I20" s="25">
        <f>'[2]TDSheet'!$N$27</f>
        <v>424562.31</v>
      </c>
      <c r="J20" s="26">
        <f>'[17]начисление НЖП'!$L$30</f>
        <v>5793.766090390625</v>
      </c>
      <c r="K20" s="63">
        <f t="shared" si="0"/>
        <v>430356.0760903906</v>
      </c>
      <c r="L20" s="25">
        <f t="shared" si="3"/>
        <v>16315.159999999974</v>
      </c>
      <c r="M20" s="25">
        <f t="shared" si="3"/>
        <v>560.0444034544644</v>
      </c>
      <c r="N20" s="61">
        <f t="shared" si="4"/>
        <v>16875.204403454438</v>
      </c>
      <c r="O20" s="56">
        <f>499678.26-O14-O17-O24-O25-O27</f>
        <v>483742.44000000006</v>
      </c>
    </row>
    <row r="21" spans="1:15" ht="12.75" customHeight="1" hidden="1" outlineLevel="1">
      <c r="A21" s="38" t="s">
        <v>10</v>
      </c>
      <c r="B21" s="67"/>
      <c r="C21" s="25">
        <v>0</v>
      </c>
      <c r="D21" s="25"/>
      <c r="E21" s="61">
        <f t="shared" si="2"/>
        <v>0</v>
      </c>
      <c r="F21" s="25"/>
      <c r="G21" s="25"/>
      <c r="H21" s="63">
        <f t="shared" si="1"/>
        <v>0</v>
      </c>
      <c r="I21" s="25"/>
      <c r="J21" s="26"/>
      <c r="K21" s="63">
        <f t="shared" si="0"/>
        <v>0</v>
      </c>
      <c r="L21" s="25">
        <f t="shared" si="3"/>
        <v>0</v>
      </c>
      <c r="M21" s="25"/>
      <c r="N21" s="61">
        <f t="shared" si="4"/>
        <v>0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24" collapsed="1">
      <c r="A24" s="38" t="s">
        <v>25</v>
      </c>
      <c r="B24" s="67"/>
      <c r="C24" s="25">
        <v>246.1800000000003</v>
      </c>
      <c r="D24" s="25"/>
      <c r="E24" s="61">
        <f t="shared" si="2"/>
        <v>246.1800000000003</v>
      </c>
      <c r="F24" s="25">
        <f>'[1]TDSheet'!$L$34+'[7]TDSheet'!$G$32</f>
        <v>7319.280000000001</v>
      </c>
      <c r="G24" s="25"/>
      <c r="H24" s="63">
        <f t="shared" si="1"/>
        <v>7319.280000000001</v>
      </c>
      <c r="I24" s="25">
        <f>'[2]TDSheet'!$S$27</f>
        <v>7279.1</v>
      </c>
      <c r="J24" s="26"/>
      <c r="K24" s="63">
        <f t="shared" si="0"/>
        <v>7279.1</v>
      </c>
      <c r="L24" s="25">
        <f t="shared" si="3"/>
        <v>286.3600000000006</v>
      </c>
      <c r="M24" s="25"/>
      <c r="N24" s="61">
        <f t="shared" si="4"/>
        <v>286.3600000000006</v>
      </c>
      <c r="O24" s="56">
        <v>1261.72</v>
      </c>
    </row>
    <row r="25" spans="1:15" ht="12.75">
      <c r="A25" s="38" t="s">
        <v>18</v>
      </c>
      <c r="B25" s="67"/>
      <c r="C25" s="25">
        <v>0</v>
      </c>
      <c r="D25" s="25"/>
      <c r="E25" s="61">
        <f t="shared" si="2"/>
        <v>0</v>
      </c>
      <c r="F25" s="25"/>
      <c r="G25" s="25"/>
      <c r="H25" s="63">
        <f t="shared" si="1"/>
        <v>0</v>
      </c>
      <c r="I25" s="25"/>
      <c r="J25" s="26"/>
      <c r="K25" s="63">
        <f t="shared" si="0"/>
        <v>0</v>
      </c>
      <c r="L25" s="25">
        <f t="shared" si="3"/>
        <v>0</v>
      </c>
      <c r="M25" s="25"/>
      <c r="N25" s="61">
        <f t="shared" si="4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/>
      <c r="M26" s="25"/>
      <c r="N26" s="61"/>
      <c r="O26" s="56"/>
    </row>
    <row r="27" spans="1:15" ht="12.75" collapsed="1">
      <c r="A27" s="38" t="s">
        <v>11</v>
      </c>
      <c r="B27" s="67"/>
      <c r="C27" s="25">
        <v>0</v>
      </c>
      <c r="D27" s="25">
        <v>8196.78</v>
      </c>
      <c r="E27" s="61">
        <f t="shared" si="2"/>
        <v>8196.78</v>
      </c>
      <c r="F27" s="25"/>
      <c r="G27" s="25">
        <f>'[17]коммунНЖП'!$E$169</f>
        <v>4262.76</v>
      </c>
      <c r="H27" s="63">
        <f t="shared" si="1"/>
        <v>4262.76</v>
      </c>
      <c r="I27" s="25"/>
      <c r="J27" s="26">
        <f>'[17]коммунНЖП'!$F$169</f>
        <v>11216.69</v>
      </c>
      <c r="K27" s="63">
        <f t="shared" si="0"/>
        <v>11216.69</v>
      </c>
      <c r="L27" s="25">
        <f t="shared" si="3"/>
        <v>0</v>
      </c>
      <c r="M27" s="25">
        <f>D27+G27-J27</f>
        <v>1242.8500000000004</v>
      </c>
      <c r="N27" s="61">
        <f t="shared" si="4"/>
        <v>1242.8500000000004</v>
      </c>
      <c r="O27" s="56"/>
    </row>
    <row r="28" spans="1:15" ht="12.75">
      <c r="A28" s="41" t="s">
        <v>12</v>
      </c>
      <c r="B28" s="68"/>
      <c r="C28" s="42">
        <f>SUM(C14:C27)</f>
        <v>15037.329999999989</v>
      </c>
      <c r="D28" s="42">
        <f>SUM(D14:D27)</f>
        <v>8093.790000000001</v>
      </c>
      <c r="E28" s="62">
        <f>SUM(C28:D28)</f>
        <v>23131.119999999988</v>
      </c>
      <c r="F28" s="43">
        <f>SUM(F14:F27)</f>
        <v>439523.66000000003</v>
      </c>
      <c r="G28" s="42">
        <f>SUM(G14:G27)</f>
        <v>10719.560493845089</v>
      </c>
      <c r="H28" s="64">
        <f>F28+G28</f>
        <v>450243.2204938451</v>
      </c>
      <c r="I28" s="43">
        <f>SUM(I14:I27)</f>
        <v>438429.42</v>
      </c>
      <c r="J28" s="45">
        <f>SUM(J14:J27)</f>
        <v>17010.456090390624</v>
      </c>
      <c r="K28" s="64">
        <f>I28+J28</f>
        <v>455439.8760903906</v>
      </c>
      <c r="L28" s="46">
        <f>SUM(L14:L27)</f>
        <v>16131.569999999974</v>
      </c>
      <c r="M28" s="44">
        <f>SUM(M14:M27)</f>
        <v>1802.8944034544647</v>
      </c>
      <c r="N28" s="62">
        <f>L28+M28</f>
        <v>17934.46440345444</v>
      </c>
      <c r="O28" s="57">
        <f>SUM(O14:O27)</f>
        <v>499678.26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44542.15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49.03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39270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5219.94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3.18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O12:O13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A1:L1"/>
    <mergeCell ref="A3:H3"/>
    <mergeCell ref="A4:D4"/>
    <mergeCell ref="A5:C5"/>
    <mergeCell ref="A6:D6"/>
    <mergeCell ref="A7:D7"/>
    <mergeCell ref="B12:B13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1">
      <selection activeCell="R18" sqref="R18"/>
    </sheetView>
  </sheetViews>
  <sheetFormatPr defaultColWidth="9.00390625" defaultRowHeight="12.75" outlineLevelRow="2" outlineLevelCol="1"/>
  <cols>
    <col min="1" max="1" width="23.375" style="0" customWidth="1"/>
    <col min="2" max="2" width="11.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76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69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4690.5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4690.5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130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457.5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>C16+F16-I16</f>
        <v>0</v>
      </c>
      <c r="M16" s="25"/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9855.400000000001</v>
      </c>
      <c r="D17" s="25"/>
      <c r="E17" s="61">
        <f>SUM(C17:D17)</f>
        <v>9855.400000000001</v>
      </c>
      <c r="F17" s="40">
        <f>'[1]TDSheet'!$G$39+'[3]TDSheet'!$G$35</f>
        <v>48946.59</v>
      </c>
      <c r="G17" s="25"/>
      <c r="H17" s="63">
        <f aca="true" t="shared" si="1" ref="H17:H27">F17+G17</f>
        <v>48946.59</v>
      </c>
      <c r="I17" s="25">
        <f>'[2]TDSheet'!$K$18</f>
        <v>49385.43</v>
      </c>
      <c r="J17" s="26"/>
      <c r="K17" s="63">
        <f t="shared" si="0"/>
        <v>49385.43</v>
      </c>
      <c r="L17" s="25">
        <f>C17+F17-I17</f>
        <v>9416.559999999998</v>
      </c>
      <c r="M17" s="25"/>
      <c r="N17" s="61">
        <f>L17+M17</f>
        <v>9416.559999999998</v>
      </c>
      <c r="O17" s="56">
        <v>48465.43</v>
      </c>
    </row>
    <row r="18" spans="1:15" ht="12.75">
      <c r="A18" s="38" t="s">
        <v>13</v>
      </c>
      <c r="B18" s="67"/>
      <c r="C18" s="25">
        <v>38886.55000000002</v>
      </c>
      <c r="D18" s="25"/>
      <c r="E18" s="61">
        <f aca="true" t="shared" si="2" ref="E18:E27">SUM(C18:D18)</f>
        <v>38886.55000000002</v>
      </c>
      <c r="F18" s="25">
        <f>'[1]TDSheet'!$J$39+'[4]TDSheet'!$G$34</f>
        <v>191681.95</v>
      </c>
      <c r="G18" s="25"/>
      <c r="H18" s="63">
        <f t="shared" si="1"/>
        <v>191681.95</v>
      </c>
      <c r="I18" s="25">
        <f>'[2]TDSheet'!$P$18</f>
        <v>189396.33</v>
      </c>
      <c r="J18" s="26"/>
      <c r="K18" s="63">
        <f t="shared" si="0"/>
        <v>189396.33</v>
      </c>
      <c r="L18" s="25">
        <f aca="true" t="shared" si="3" ref="L18:M27">C18+F18-I18</f>
        <v>41172.17000000004</v>
      </c>
      <c r="M18" s="25"/>
      <c r="N18" s="61">
        <f>L18+M18</f>
        <v>41172.17000000004</v>
      </c>
      <c r="O18" s="56">
        <v>160343.63</v>
      </c>
    </row>
    <row r="19" spans="1:15" ht="12.75">
      <c r="A19" s="38" t="s">
        <v>15</v>
      </c>
      <c r="B19" s="67"/>
      <c r="C19" s="25">
        <v>5126.68</v>
      </c>
      <c r="D19" s="25"/>
      <c r="E19" s="61">
        <f t="shared" si="2"/>
        <v>5126.68</v>
      </c>
      <c r="F19" s="25">
        <f>'[1]TDSheet'!$E$39+'[5]TDSheet'!$G$26</f>
        <v>27370.260000000002</v>
      </c>
      <c r="G19" s="25"/>
      <c r="H19" s="63">
        <f t="shared" si="1"/>
        <v>27370.260000000002</v>
      </c>
      <c r="I19" s="25">
        <f>'[2]TDSheet'!$C$18</f>
        <v>27192.75</v>
      </c>
      <c r="J19" s="26"/>
      <c r="K19" s="63">
        <f t="shared" si="0"/>
        <v>27192.75</v>
      </c>
      <c r="L19" s="25">
        <f t="shared" si="3"/>
        <v>5304.190000000002</v>
      </c>
      <c r="M19" s="25"/>
      <c r="N19" s="61">
        <f aca="true" t="shared" si="4" ref="N19:N27">L19+M19</f>
        <v>5304.190000000002</v>
      </c>
      <c r="O19" s="56">
        <v>52700.16</v>
      </c>
    </row>
    <row r="20" spans="1:15" ht="24">
      <c r="A20" s="38" t="s">
        <v>8</v>
      </c>
      <c r="B20" s="67"/>
      <c r="C20" s="25">
        <v>223308.9500000002</v>
      </c>
      <c r="D20" s="25">
        <v>-160.94</v>
      </c>
      <c r="E20" s="61">
        <f t="shared" si="2"/>
        <v>223148.01000000018</v>
      </c>
      <c r="F20" s="25">
        <f>'[1]TDSheet'!$H$39+'[6]TDSheet'!$G$39</f>
        <v>688604.93</v>
      </c>
      <c r="G20" s="25">
        <f>'[17]начисление НЖП'!$K$35</f>
        <v>10409.576791221692</v>
      </c>
      <c r="H20" s="63">
        <f t="shared" si="1"/>
        <v>699014.5067912218</v>
      </c>
      <c r="I20" s="25">
        <f>'[2]TDSheet'!$N$18+'[2]TDSheet'!$T$18</f>
        <v>709980.76</v>
      </c>
      <c r="J20" s="26">
        <f>'[17]начисление НЖП'!$L$35</f>
        <v>9340.640629331556</v>
      </c>
      <c r="K20" s="63">
        <f t="shared" si="0"/>
        <v>719321.4006293316</v>
      </c>
      <c r="L20" s="25">
        <f t="shared" si="3"/>
        <v>201933.12000000023</v>
      </c>
      <c r="M20" s="25">
        <f t="shared" si="3"/>
        <v>907.9961618901361</v>
      </c>
      <c r="N20" s="61">
        <f t="shared" si="4"/>
        <v>202841.11616189036</v>
      </c>
      <c r="O20" s="56">
        <f>1204001.563-O14-O17-O18-O19-O24-O25-O26</f>
        <v>596715.2630000002</v>
      </c>
    </row>
    <row r="21" spans="1:15" ht="12.75">
      <c r="A21" s="38" t="s">
        <v>10</v>
      </c>
      <c r="B21" s="67"/>
      <c r="C21" s="25">
        <v>-2442.15</v>
      </c>
      <c r="D21" s="25"/>
      <c r="E21" s="61">
        <f t="shared" si="2"/>
        <v>-2442.15</v>
      </c>
      <c r="F21" s="25"/>
      <c r="G21" s="25"/>
      <c r="H21" s="63">
        <f t="shared" si="1"/>
        <v>0</v>
      </c>
      <c r="I21" s="25"/>
      <c r="J21" s="26"/>
      <c r="K21" s="63">
        <f t="shared" si="0"/>
        <v>0</v>
      </c>
      <c r="L21" s="25">
        <f t="shared" si="3"/>
        <v>-2442.15</v>
      </c>
      <c r="M21" s="25"/>
      <c r="N21" s="61">
        <f t="shared" si="4"/>
        <v>-2442.15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24" collapsed="1">
      <c r="A24" s="38" t="s">
        <v>25</v>
      </c>
      <c r="B24" s="67"/>
      <c r="C24" s="25">
        <v>1365.9899999999998</v>
      </c>
      <c r="D24" s="25"/>
      <c r="E24" s="61">
        <f t="shared" si="2"/>
        <v>1365.9899999999998</v>
      </c>
      <c r="F24" s="25">
        <f>'[1]TDSheet'!$L$39+'[7]TDSheet'!$G$37</f>
        <v>11730.24</v>
      </c>
      <c r="G24" s="25"/>
      <c r="H24" s="63">
        <f t="shared" si="1"/>
        <v>11730.24</v>
      </c>
      <c r="I24" s="25">
        <f>'[2]TDSheet'!$S$18</f>
        <v>11168.14</v>
      </c>
      <c r="J24" s="26"/>
      <c r="K24" s="63">
        <f t="shared" si="0"/>
        <v>11168.14</v>
      </c>
      <c r="L24" s="25">
        <f t="shared" si="3"/>
        <v>1928.0900000000001</v>
      </c>
      <c r="M24" s="25"/>
      <c r="N24" s="61">
        <f t="shared" si="4"/>
        <v>1928.0900000000001</v>
      </c>
      <c r="O24" s="56">
        <v>1446.48</v>
      </c>
    </row>
    <row r="25" spans="1:15" ht="12.75">
      <c r="A25" s="38" t="s">
        <v>18</v>
      </c>
      <c r="B25" s="67"/>
      <c r="C25" s="25">
        <v>1310.65</v>
      </c>
      <c r="D25" s="25"/>
      <c r="E25" s="61">
        <f t="shared" si="2"/>
        <v>1310.65</v>
      </c>
      <c r="F25" s="25">
        <f>'[1]TDSheet'!$F$39</f>
        <v>3000</v>
      </c>
      <c r="G25" s="25"/>
      <c r="H25" s="63">
        <f t="shared" si="1"/>
        <v>3000</v>
      </c>
      <c r="I25" s="25">
        <f>'[2]TDSheet'!$I$18</f>
        <v>3221.16</v>
      </c>
      <c r="J25" s="26"/>
      <c r="K25" s="63">
        <f t="shared" si="0"/>
        <v>3221.16</v>
      </c>
      <c r="L25" s="25">
        <f t="shared" si="3"/>
        <v>1089.4899999999998</v>
      </c>
      <c r="M25" s="25"/>
      <c r="N25" s="61">
        <f t="shared" si="4"/>
        <v>1089.4899999999998</v>
      </c>
      <c r="O25" s="56">
        <v>3000</v>
      </c>
    </row>
    <row r="26" spans="1:15" ht="12.75">
      <c r="A26" s="38" t="s">
        <v>27</v>
      </c>
      <c r="B26" s="67"/>
      <c r="C26" s="25">
        <v>26976.449999999997</v>
      </c>
      <c r="D26" s="25"/>
      <c r="E26" s="61">
        <f t="shared" si="2"/>
        <v>26976.449999999997</v>
      </c>
      <c r="F26" s="25">
        <f>'[1]TDSheet'!$K$39+'[9]TDSheet'!$G$11</f>
        <v>103675.11</v>
      </c>
      <c r="G26" s="25"/>
      <c r="H26" s="63">
        <f t="shared" si="1"/>
        <v>103675.11</v>
      </c>
      <c r="I26" s="25">
        <f>'[2]TDSheet'!$R$18</f>
        <v>103386.35</v>
      </c>
      <c r="J26" s="26"/>
      <c r="K26" s="63">
        <f t="shared" si="0"/>
        <v>103386.35</v>
      </c>
      <c r="L26" s="25">
        <f t="shared" si="3"/>
        <v>27265.209999999992</v>
      </c>
      <c r="M26" s="25"/>
      <c r="N26" s="61">
        <f t="shared" si="4"/>
        <v>27265.209999999992</v>
      </c>
      <c r="O26" s="56">
        <v>341330.6</v>
      </c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2"/>
        <v>0</v>
      </c>
      <c r="F27" s="25"/>
      <c r="G27" s="25"/>
      <c r="H27" s="63">
        <f t="shared" si="1"/>
        <v>0</v>
      </c>
      <c r="I27" s="25"/>
      <c r="J27" s="26"/>
      <c r="K27" s="63">
        <f t="shared" si="0"/>
        <v>0</v>
      </c>
      <c r="L27" s="25">
        <f t="shared" si="3"/>
        <v>0</v>
      </c>
      <c r="M27" s="25">
        <f>D27+G27-J27</f>
        <v>0</v>
      </c>
      <c r="N27" s="61">
        <f t="shared" si="4"/>
        <v>0</v>
      </c>
      <c r="O27" s="56"/>
    </row>
    <row r="28" spans="1:15" ht="12.75" collapsed="1">
      <c r="A28" s="41" t="s">
        <v>12</v>
      </c>
      <c r="B28" s="68"/>
      <c r="C28" s="42">
        <f>SUM(C14:C27)</f>
        <v>304388.5200000002</v>
      </c>
      <c r="D28" s="42">
        <f>SUM(D14:D27)</f>
        <v>-160.94</v>
      </c>
      <c r="E28" s="62">
        <f>SUM(C28:D28)</f>
        <v>304227.5800000002</v>
      </c>
      <c r="F28" s="43">
        <f>SUM(F14:F27)</f>
        <v>1075009.08</v>
      </c>
      <c r="G28" s="42">
        <f>SUM(G14:G27)</f>
        <v>10409.576791221692</v>
      </c>
      <c r="H28" s="64">
        <f>F28+G28</f>
        <v>1085418.6567912218</v>
      </c>
      <c r="I28" s="43">
        <f>SUM(I14:I27)</f>
        <v>1093730.9200000002</v>
      </c>
      <c r="J28" s="45">
        <f>SUM(J14:J27)</f>
        <v>9340.640629331556</v>
      </c>
      <c r="K28" s="64">
        <f>I28+J28</f>
        <v>1103071.5606293317</v>
      </c>
      <c r="L28" s="46">
        <f>SUM(L14:L27)</f>
        <v>285666.6800000003</v>
      </c>
      <c r="M28" s="44">
        <f>SUM(M14:M27)</f>
        <v>907.9961618901361</v>
      </c>
      <c r="N28" s="62">
        <f>L28+M28</f>
        <v>286574.67616189044</v>
      </c>
      <c r="O28" s="57">
        <f>SUM(O14:O27)</f>
        <v>1204001.563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19633.620000000003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277.14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880.45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18470.9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5.13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O12:O13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A1:L1"/>
    <mergeCell ref="A3:H3"/>
    <mergeCell ref="A4:D4"/>
    <mergeCell ref="A5:C5"/>
    <mergeCell ref="A6:D6"/>
    <mergeCell ref="A7:D7"/>
    <mergeCell ref="B12:B13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1">
      <selection activeCell="Q14" sqref="Q14"/>
    </sheetView>
  </sheetViews>
  <sheetFormatPr defaultColWidth="9.00390625" defaultRowHeight="12.75" outlineLevelRow="1" outlineLevelCol="1"/>
  <cols>
    <col min="1" max="1" width="25.125" style="0" customWidth="1"/>
    <col min="2" max="2" width="12.25390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23" t="s">
        <v>29</v>
      </c>
      <c r="B1" s="123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86"/>
      <c r="N1" s="86"/>
      <c r="O1" s="87"/>
    </row>
    <row r="2" spans="1:15" ht="15.75">
      <c r="A2" s="88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ht="12.75">
      <c r="A3" s="114" t="s">
        <v>75</v>
      </c>
      <c r="B3" s="114"/>
      <c r="C3" s="115"/>
      <c r="D3" s="115"/>
      <c r="E3" s="115"/>
      <c r="F3" s="116"/>
      <c r="G3" s="116"/>
      <c r="H3" s="116"/>
      <c r="I3" s="89"/>
      <c r="J3" s="89"/>
      <c r="K3" s="89"/>
      <c r="L3" s="89"/>
      <c r="M3" s="89"/>
      <c r="N3" s="89"/>
      <c r="O3" s="90"/>
    </row>
    <row r="4" spans="1:15" ht="12.75" customHeight="1">
      <c r="A4" s="117" t="s">
        <v>0</v>
      </c>
      <c r="B4" s="117"/>
      <c r="C4" s="118"/>
      <c r="D4" s="119"/>
      <c r="E4" s="87"/>
      <c r="F4" s="91">
        <v>90</v>
      </c>
      <c r="G4" s="86"/>
      <c r="H4" s="86"/>
      <c r="I4" s="86"/>
      <c r="J4" s="86"/>
      <c r="K4" s="86"/>
      <c r="L4" s="86"/>
      <c r="M4" s="86"/>
      <c r="N4" s="86"/>
      <c r="O4" s="87"/>
    </row>
    <row r="5" spans="1:15" ht="12.75" customHeight="1">
      <c r="A5" s="124" t="s">
        <v>20</v>
      </c>
      <c r="B5" s="124"/>
      <c r="C5" s="119"/>
      <c r="D5" s="86"/>
      <c r="E5" s="87"/>
      <c r="F5" s="91">
        <v>7791.5</v>
      </c>
      <c r="G5" s="92"/>
      <c r="H5" s="92"/>
      <c r="I5" s="92"/>
      <c r="J5" s="92"/>
      <c r="K5" s="86"/>
      <c r="L5" s="86"/>
      <c r="M5" s="86"/>
      <c r="N5" s="86"/>
      <c r="O5" s="87"/>
    </row>
    <row r="6" spans="1:15" ht="12.75" customHeight="1">
      <c r="A6" s="117" t="s">
        <v>21</v>
      </c>
      <c r="B6" s="117"/>
      <c r="C6" s="118"/>
      <c r="D6" s="118"/>
      <c r="E6" s="87"/>
      <c r="F6" s="91"/>
      <c r="G6" s="92"/>
      <c r="H6" s="87"/>
      <c r="I6" s="92"/>
      <c r="J6" s="92"/>
      <c r="K6" s="86"/>
      <c r="L6" s="86"/>
      <c r="M6" s="86"/>
      <c r="N6" s="86"/>
      <c r="O6" s="87"/>
    </row>
    <row r="7" spans="1:15" ht="12.75">
      <c r="A7" s="117" t="s">
        <v>22</v>
      </c>
      <c r="B7" s="117"/>
      <c r="C7" s="118"/>
      <c r="D7" s="118"/>
      <c r="E7" s="87"/>
      <c r="F7" s="91">
        <f>F6+F5</f>
        <v>7791.5</v>
      </c>
      <c r="G7" s="92"/>
      <c r="H7" s="92"/>
      <c r="I7" s="92"/>
      <c r="J7" s="92"/>
      <c r="K7" s="86"/>
      <c r="L7" s="86"/>
      <c r="M7" s="86"/>
      <c r="N7" s="86"/>
      <c r="O7" s="87"/>
    </row>
    <row r="8" spans="1:15" ht="12.75" customHeight="1">
      <c r="A8" s="117" t="s">
        <v>1</v>
      </c>
      <c r="B8" s="117"/>
      <c r="C8" s="118"/>
      <c r="D8" s="118"/>
      <c r="E8" s="119"/>
      <c r="F8" s="91">
        <v>217</v>
      </c>
      <c r="G8" s="92"/>
      <c r="H8" s="92"/>
      <c r="I8" s="92"/>
      <c r="J8" s="92"/>
      <c r="K8" s="86"/>
      <c r="L8" s="86"/>
      <c r="M8" s="86"/>
      <c r="N8" s="86"/>
      <c r="O8" s="87"/>
    </row>
    <row r="9" spans="1:15" ht="12.75" customHeight="1">
      <c r="A9" s="120" t="s">
        <v>23</v>
      </c>
      <c r="B9" s="120"/>
      <c r="C9" s="119"/>
      <c r="D9" s="119"/>
      <c r="E9" s="119"/>
      <c r="F9" s="91">
        <v>653.5</v>
      </c>
      <c r="G9" s="92"/>
      <c r="H9" s="92"/>
      <c r="I9" s="92"/>
      <c r="J9" s="92"/>
      <c r="K9" s="86"/>
      <c r="L9" s="86"/>
      <c r="M9" s="86"/>
      <c r="N9" s="86"/>
      <c r="O9" s="87"/>
    </row>
    <row r="10" spans="1:15" ht="15">
      <c r="A10" s="121" t="s">
        <v>2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93"/>
      <c r="M10" s="122"/>
      <c r="N10" s="122"/>
      <c r="O10" s="87"/>
    </row>
    <row r="11" spans="1:15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>C16+F16-I16</f>
        <v>0</v>
      </c>
      <c r="M16" s="25"/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8287.489999999998</v>
      </c>
      <c r="D17" s="25"/>
      <c r="E17" s="61">
        <f>SUM(C17:D17)</f>
        <v>8287.489999999998</v>
      </c>
      <c r="F17" s="40">
        <f>'[1]TDSheet'!$G$40</f>
        <v>44460.77</v>
      </c>
      <c r="G17" s="25"/>
      <c r="H17" s="63">
        <f aca="true" t="shared" si="1" ref="H17:H27">F17+G17</f>
        <v>44460.77</v>
      </c>
      <c r="I17" s="25">
        <f>'[2]TDSheet'!$K$10</f>
        <v>42465.08</v>
      </c>
      <c r="J17" s="26"/>
      <c r="K17" s="63">
        <f t="shared" si="0"/>
        <v>42465.08</v>
      </c>
      <c r="L17" s="25">
        <f>C17+F17-I17</f>
        <v>10283.179999999993</v>
      </c>
      <c r="M17" s="25"/>
      <c r="N17" s="61">
        <f>L17+M17</f>
        <v>10283.179999999993</v>
      </c>
      <c r="O17" s="56">
        <v>43729.62</v>
      </c>
    </row>
    <row r="18" spans="1:15" ht="12.75">
      <c r="A18" s="38" t="s">
        <v>13</v>
      </c>
      <c r="B18" s="67"/>
      <c r="C18" s="25">
        <v>62296.03000000003</v>
      </c>
      <c r="D18" s="25"/>
      <c r="E18" s="61">
        <f aca="true" t="shared" si="2" ref="E18:E27">SUM(C18:D18)</f>
        <v>62296.03000000003</v>
      </c>
      <c r="F18" s="25">
        <f>'[1]TDSheet'!$J$40+'[4]TDSheet'!$G$35</f>
        <v>347236.68</v>
      </c>
      <c r="G18" s="25"/>
      <c r="H18" s="63">
        <f t="shared" si="1"/>
        <v>347236.68</v>
      </c>
      <c r="I18" s="25">
        <f>'[2]TDSheet'!$P$10</f>
        <v>328026.65</v>
      </c>
      <c r="J18" s="26"/>
      <c r="K18" s="63">
        <f t="shared" si="0"/>
        <v>328026.65</v>
      </c>
      <c r="L18" s="25">
        <f aca="true" t="shared" si="3" ref="L18:M27">C18+F18-I18</f>
        <v>81506.06</v>
      </c>
      <c r="M18" s="25"/>
      <c r="N18" s="61">
        <f>L18+M18</f>
        <v>81506.06</v>
      </c>
      <c r="O18" s="56">
        <v>303465.81</v>
      </c>
    </row>
    <row r="19" spans="1:15" ht="12.75">
      <c r="A19" s="38" t="s">
        <v>15</v>
      </c>
      <c r="B19" s="67"/>
      <c r="C19" s="25">
        <v>8333.589999999997</v>
      </c>
      <c r="D19" s="25"/>
      <c r="E19" s="61">
        <f t="shared" si="2"/>
        <v>8333.589999999997</v>
      </c>
      <c r="F19" s="25">
        <f>'[1]TDSheet'!$E$40</f>
        <v>45816.48</v>
      </c>
      <c r="G19" s="25"/>
      <c r="H19" s="63">
        <f t="shared" si="1"/>
        <v>45816.48</v>
      </c>
      <c r="I19" s="25">
        <f>'[2]TDSheet'!$C$10</f>
        <v>47618.09</v>
      </c>
      <c r="J19" s="26"/>
      <c r="K19" s="63">
        <f t="shared" si="0"/>
        <v>47618.09</v>
      </c>
      <c r="L19" s="25">
        <f t="shared" si="3"/>
        <v>6531.980000000003</v>
      </c>
      <c r="M19" s="25"/>
      <c r="N19" s="61">
        <f aca="true" t="shared" si="4" ref="N19:N27">L19+M19</f>
        <v>6531.980000000003</v>
      </c>
      <c r="O19" s="56">
        <v>58373.62</v>
      </c>
    </row>
    <row r="20" spans="1:15" ht="24">
      <c r="A20" s="38" t="s">
        <v>8</v>
      </c>
      <c r="B20" s="67"/>
      <c r="C20" s="25">
        <v>344770.01</v>
      </c>
      <c r="D20" s="25">
        <v>-274.05000000000007</v>
      </c>
      <c r="E20" s="61">
        <f t="shared" si="2"/>
        <v>344495.96</v>
      </c>
      <c r="F20" s="25">
        <f>'[1]TDSheet'!$H$40</f>
        <v>1152889.72</v>
      </c>
      <c r="G20" s="25">
        <f>'[17]начисление НЖП'!$K$36</f>
        <v>17291.5931284093</v>
      </c>
      <c r="H20" s="63">
        <f t="shared" si="1"/>
        <v>1170181.3131284092</v>
      </c>
      <c r="I20" s="25">
        <f>'[2]TDSheet'!$N$10+'[2]TDSheet'!$T$10</f>
        <v>1199945.89</v>
      </c>
      <c r="J20" s="26">
        <f>'[17]начисление НЖП'!$L$36</f>
        <v>15515.958099016483</v>
      </c>
      <c r="K20" s="63">
        <f t="shared" si="0"/>
        <v>1215461.8480990164</v>
      </c>
      <c r="L20" s="25">
        <f t="shared" si="3"/>
        <v>297713.8400000001</v>
      </c>
      <c r="M20" s="25">
        <f t="shared" si="3"/>
        <v>1501.585029392816</v>
      </c>
      <c r="N20" s="61">
        <f t="shared" si="4"/>
        <v>299215.4250293929</v>
      </c>
      <c r="O20" s="56">
        <f>1293791.45-O14-O17-O18-O19-O24-O25</f>
        <v>883100.1799999998</v>
      </c>
    </row>
    <row r="21" spans="1:15" ht="12.75">
      <c r="A21" s="38" t="s">
        <v>10</v>
      </c>
      <c r="B21" s="67"/>
      <c r="C21" s="25">
        <v>0</v>
      </c>
      <c r="D21" s="25"/>
      <c r="E21" s="61">
        <f t="shared" si="2"/>
        <v>0</v>
      </c>
      <c r="F21" s="25"/>
      <c r="G21" s="25"/>
      <c r="H21" s="63">
        <f t="shared" si="1"/>
        <v>0</v>
      </c>
      <c r="I21" s="25"/>
      <c r="J21" s="26"/>
      <c r="K21" s="63">
        <f t="shared" si="0"/>
        <v>0</v>
      </c>
      <c r="L21" s="25">
        <f t="shared" si="3"/>
        <v>0</v>
      </c>
      <c r="M21" s="25"/>
      <c r="N21" s="61">
        <f t="shared" si="4"/>
        <v>0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12.75" collapsed="1">
      <c r="A24" s="38" t="s">
        <v>25</v>
      </c>
      <c r="B24" s="67"/>
      <c r="C24" s="25">
        <v>2850.2299999999996</v>
      </c>
      <c r="D24" s="25"/>
      <c r="E24" s="61">
        <f t="shared" si="2"/>
        <v>2850.2299999999996</v>
      </c>
      <c r="F24" s="25">
        <f>'[1]TDSheet'!$L$40</f>
        <v>19636.32</v>
      </c>
      <c r="G24" s="25"/>
      <c r="H24" s="63">
        <f t="shared" si="1"/>
        <v>19636.32</v>
      </c>
      <c r="I24" s="25">
        <f>'[2]TDSheet'!$S$10</f>
        <v>18341.61</v>
      </c>
      <c r="J24" s="26"/>
      <c r="K24" s="63">
        <f t="shared" si="0"/>
        <v>18341.61</v>
      </c>
      <c r="L24" s="25">
        <f t="shared" si="3"/>
        <v>4144.939999999999</v>
      </c>
      <c r="M24" s="25"/>
      <c r="N24" s="61">
        <f t="shared" si="4"/>
        <v>4144.939999999999</v>
      </c>
      <c r="O24" s="56">
        <v>1622.22</v>
      </c>
    </row>
    <row r="25" spans="1:15" ht="12.75">
      <c r="A25" s="38" t="s">
        <v>18</v>
      </c>
      <c r="B25" s="67"/>
      <c r="C25" s="25">
        <v>736.3400000000001</v>
      </c>
      <c r="D25" s="25"/>
      <c r="E25" s="61">
        <f t="shared" si="2"/>
        <v>736.3400000000001</v>
      </c>
      <c r="F25" s="25">
        <f>'[1]TDSheet'!$F$40</f>
        <v>3500</v>
      </c>
      <c r="G25" s="25"/>
      <c r="H25" s="63">
        <f t="shared" si="1"/>
        <v>3500</v>
      </c>
      <c r="I25" s="25">
        <f>'[2]TDSheet'!$I$10</f>
        <v>913.85</v>
      </c>
      <c r="J25" s="26"/>
      <c r="K25" s="63">
        <f t="shared" si="0"/>
        <v>913.85</v>
      </c>
      <c r="L25" s="25">
        <f t="shared" si="3"/>
        <v>3322.4900000000002</v>
      </c>
      <c r="M25" s="25"/>
      <c r="N25" s="61">
        <f t="shared" si="4"/>
        <v>3322.4900000000002</v>
      </c>
      <c r="O25" s="56">
        <v>3500</v>
      </c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>
        <f t="shared" si="3"/>
        <v>0</v>
      </c>
      <c r="M26" s="25"/>
      <c r="N26" s="61">
        <f t="shared" si="4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2"/>
        <v>0</v>
      </c>
      <c r="F27" s="25"/>
      <c r="G27" s="25"/>
      <c r="H27" s="63">
        <f t="shared" si="1"/>
        <v>0</v>
      </c>
      <c r="I27" s="25"/>
      <c r="J27" s="26"/>
      <c r="K27" s="63">
        <f t="shared" si="0"/>
        <v>0</v>
      </c>
      <c r="L27" s="25">
        <f t="shared" si="3"/>
        <v>0</v>
      </c>
      <c r="M27" s="25">
        <f>D27+G27-J27</f>
        <v>0</v>
      </c>
      <c r="N27" s="61">
        <f t="shared" si="4"/>
        <v>0</v>
      </c>
      <c r="O27" s="56"/>
    </row>
    <row r="28" spans="1:15" ht="12.75" collapsed="1">
      <c r="A28" s="41" t="s">
        <v>12</v>
      </c>
      <c r="B28" s="68"/>
      <c r="C28" s="42">
        <f>SUM(C14:C27)</f>
        <v>427273.69</v>
      </c>
      <c r="D28" s="42">
        <f>SUM(D14:D27)</f>
        <v>-274.05000000000007</v>
      </c>
      <c r="E28" s="62">
        <f>SUM(C28:D28)</f>
        <v>426999.64</v>
      </c>
      <c r="F28" s="43">
        <f>SUM(F14:F27)</f>
        <v>1613539.97</v>
      </c>
      <c r="G28" s="42">
        <f>SUM(G14:G27)</f>
        <v>17291.5931284093</v>
      </c>
      <c r="H28" s="64">
        <f>F28+G28</f>
        <v>1630831.5631284092</v>
      </c>
      <c r="I28" s="43">
        <f>SUM(I14:I27)</f>
        <v>1637311.1700000002</v>
      </c>
      <c r="J28" s="45">
        <f>SUM(J14:J27)</f>
        <v>15515.958099016483</v>
      </c>
      <c r="K28" s="64">
        <f>I28+J28</f>
        <v>1652827.1280990166</v>
      </c>
      <c r="L28" s="46">
        <f>SUM(L14:L27)</f>
        <v>403502.49000000005</v>
      </c>
      <c r="M28" s="44">
        <f>SUM(M14:M27)</f>
        <v>1501.585029392816</v>
      </c>
      <c r="N28" s="62">
        <f>L28+M28</f>
        <v>405004.07502939284</v>
      </c>
      <c r="O28" s="57">
        <f>SUM(O14:O27)</f>
        <v>1293791.4499999997</v>
      </c>
    </row>
    <row r="29" spans="1:15" ht="12.75">
      <c r="A29" s="87"/>
      <c r="B29" s="87"/>
      <c r="C29" s="87"/>
      <c r="D29" s="87"/>
      <c r="E29" s="87"/>
      <c r="F29" s="87"/>
      <c r="G29" s="87"/>
      <c r="H29" s="94"/>
      <c r="I29" s="87"/>
      <c r="J29" s="87"/>
      <c r="K29" s="94"/>
      <c r="L29" s="87"/>
      <c r="M29" s="87"/>
      <c r="N29" s="87"/>
      <c r="O29" s="87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33268.38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95" t="s">
        <v>39</v>
      </c>
      <c r="B32" s="87"/>
      <c r="C32" s="87"/>
      <c r="D32" s="87"/>
      <c r="E32" s="87"/>
      <c r="F32" s="77">
        <v>457.45</v>
      </c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95" t="s">
        <v>35</v>
      </c>
      <c r="B33" s="87"/>
      <c r="C33" s="87"/>
      <c r="D33" s="87"/>
      <c r="E33" s="87"/>
      <c r="F33" s="77">
        <v>0</v>
      </c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95" t="s">
        <v>36</v>
      </c>
      <c r="B34" s="87"/>
      <c r="C34" s="87"/>
      <c r="D34" s="87"/>
      <c r="E34" s="87"/>
      <c r="F34" s="77">
        <v>1462.74</v>
      </c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95" t="s">
        <v>43</v>
      </c>
      <c r="B35" s="87"/>
      <c r="C35" s="87"/>
      <c r="D35" s="87"/>
      <c r="E35" s="87"/>
      <c r="F35" s="77">
        <v>0</v>
      </c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95" t="s">
        <v>37</v>
      </c>
      <c r="B36" s="87"/>
      <c r="C36" s="87"/>
      <c r="D36" s="87"/>
      <c r="E36" s="87"/>
      <c r="F36" s="77">
        <v>31339.67</v>
      </c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2.75">
      <c r="A37" s="95" t="s">
        <v>42</v>
      </c>
      <c r="B37" s="87"/>
      <c r="C37" s="87"/>
      <c r="D37" s="87"/>
      <c r="E37" s="87"/>
      <c r="F37" s="77">
        <v>8.52</v>
      </c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2.75">
      <c r="A38" s="95" t="s">
        <v>38</v>
      </c>
      <c r="B38" s="87"/>
      <c r="C38" s="87"/>
      <c r="D38" s="87"/>
      <c r="E38" s="87"/>
      <c r="F38" s="77">
        <v>0</v>
      </c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95" t="s">
        <v>40</v>
      </c>
      <c r="B39" s="87"/>
      <c r="C39" s="87"/>
      <c r="D39" s="87"/>
      <c r="E39" s="87"/>
      <c r="F39" s="77">
        <v>0</v>
      </c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2.75">
      <c r="A40" s="95" t="s">
        <v>41</v>
      </c>
      <c r="B40" s="87"/>
      <c r="C40" s="87"/>
      <c r="D40" s="87"/>
      <c r="E40" s="87"/>
      <c r="F40" s="77">
        <v>0</v>
      </c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 hidden="1" outlineLevel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 hidden="1" outlineLevel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 hidden="1" outlineLevel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 hidden="1" outlineLevel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 collapsed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8" right="0.1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2">
      <selection activeCell="R13" sqref="R13"/>
    </sheetView>
  </sheetViews>
  <sheetFormatPr defaultColWidth="9.00390625" defaultRowHeight="12.75" outlineLevelRow="1" outlineLevelCol="1"/>
  <cols>
    <col min="1" max="1" width="25.625" style="0" customWidth="1"/>
    <col min="2" max="2" width="13.25390625" style="0" hidden="1" customWidth="1" outlineLevel="1"/>
    <col min="3" max="3" width="10.125" style="0" bestFit="1" customWidth="1" collapsed="1"/>
    <col min="6" max="6" width="10.125" style="0" bestFit="1" customWidth="1"/>
    <col min="9" max="9" width="10.1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74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49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3294.7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3294.7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106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295.1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>C16+F16-I16</f>
        <v>0</v>
      </c>
      <c r="M16" s="25"/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5505.98</v>
      </c>
      <c r="D17" s="25"/>
      <c r="E17" s="61">
        <f>SUM(C17:D17)</f>
        <v>5505.98</v>
      </c>
      <c r="F17" s="40">
        <f>'[1]TDSheet'!$G$41+'[3]TDSheet'!$G$37</f>
        <v>24740.84</v>
      </c>
      <c r="G17" s="25"/>
      <c r="H17" s="63">
        <f aca="true" t="shared" si="1" ref="H17:H27">F17+G17</f>
        <v>24740.84</v>
      </c>
      <c r="I17" s="25">
        <f>'[2]TDSheet'!$K$34</f>
        <v>24166.08</v>
      </c>
      <c r="J17" s="26"/>
      <c r="K17" s="63">
        <f t="shared" si="0"/>
        <v>24166.08</v>
      </c>
      <c r="L17" s="25">
        <f>C17+F17-I17</f>
        <v>6080.739999999998</v>
      </c>
      <c r="M17" s="25"/>
      <c r="N17" s="61">
        <f>L17+M17</f>
        <v>6080.739999999998</v>
      </c>
      <c r="O17" s="56">
        <v>23995.6</v>
      </c>
    </row>
    <row r="18" spans="1:15" ht="12.75">
      <c r="A18" s="38" t="s">
        <v>13</v>
      </c>
      <c r="B18" s="67"/>
      <c r="C18" s="25">
        <v>38887.260000000024</v>
      </c>
      <c r="D18" s="25"/>
      <c r="E18" s="61">
        <f aca="true" t="shared" si="2" ref="E18:E27">SUM(C18:D18)</f>
        <v>38887.260000000024</v>
      </c>
      <c r="F18" s="25">
        <f>'[1]TDSheet'!$J$41+'[4]TDSheet'!$G$36</f>
        <v>142435.53999999998</v>
      </c>
      <c r="G18" s="25"/>
      <c r="H18" s="63">
        <f t="shared" si="1"/>
        <v>142435.53999999998</v>
      </c>
      <c r="I18" s="25">
        <f>'[2]TDSheet'!$P$34</f>
        <v>141289.35</v>
      </c>
      <c r="J18" s="26"/>
      <c r="K18" s="63">
        <f t="shared" si="0"/>
        <v>141289.35</v>
      </c>
      <c r="L18" s="25">
        <f aca="true" t="shared" si="3" ref="L18:M27">C18+F18-I18</f>
        <v>40033.44999999998</v>
      </c>
      <c r="M18" s="25"/>
      <c r="N18" s="61">
        <f>L18+M18</f>
        <v>40033.44999999998</v>
      </c>
      <c r="O18" s="56">
        <v>124789.77</v>
      </c>
    </row>
    <row r="19" spans="1:15" ht="12.75">
      <c r="A19" s="38" t="s">
        <v>15</v>
      </c>
      <c r="B19" s="67"/>
      <c r="C19" s="25">
        <v>4208.830000000002</v>
      </c>
      <c r="D19" s="25"/>
      <c r="E19" s="61">
        <f t="shared" si="2"/>
        <v>4208.830000000002</v>
      </c>
      <c r="F19" s="25">
        <f>'[1]TDSheet'!$E$41+'[5]TDSheet'!$G$28</f>
        <v>19110.809999999998</v>
      </c>
      <c r="G19" s="25"/>
      <c r="H19" s="63">
        <f t="shared" si="1"/>
        <v>19110.809999999998</v>
      </c>
      <c r="I19" s="25">
        <f>'[2]TDSheet'!$C$34</f>
        <v>19770.46</v>
      </c>
      <c r="J19" s="26"/>
      <c r="K19" s="63">
        <f t="shared" si="0"/>
        <v>19770.46</v>
      </c>
      <c r="L19" s="25">
        <f t="shared" si="3"/>
        <v>3549.1800000000003</v>
      </c>
      <c r="M19" s="25"/>
      <c r="N19" s="61">
        <f aca="true" t="shared" si="4" ref="N19:N27">L19+M19</f>
        <v>3549.1800000000003</v>
      </c>
      <c r="O19" s="56">
        <v>58373.63</v>
      </c>
    </row>
    <row r="20" spans="1:15" ht="24">
      <c r="A20" s="38" t="s">
        <v>8</v>
      </c>
      <c r="B20" s="67"/>
      <c r="C20" s="25">
        <v>142093.25999999995</v>
      </c>
      <c r="D20" s="25">
        <v>-115.86000000000001</v>
      </c>
      <c r="E20" s="61">
        <f t="shared" si="2"/>
        <v>141977.39999999997</v>
      </c>
      <c r="F20" s="25">
        <f>'[1]TDSheet'!$H$41+'[6]TDSheet'!$G$41</f>
        <v>487803.55</v>
      </c>
      <c r="G20" s="25">
        <f>'[17]начисление НЖП'!$K$37</f>
        <v>7311.892688207678</v>
      </c>
      <c r="H20" s="63">
        <f t="shared" si="1"/>
        <v>495115.44268820767</v>
      </c>
      <c r="I20" s="25">
        <f>'[2]TDSheet'!$N$34+'[2]TDSheet'!$T$34</f>
        <v>536568.96</v>
      </c>
      <c r="J20" s="26">
        <f>'[17]начисление НЖП'!$L$37</f>
        <v>6561.050779545609</v>
      </c>
      <c r="K20" s="63">
        <f t="shared" si="0"/>
        <v>543130.0107795455</v>
      </c>
      <c r="L20" s="25">
        <f t="shared" si="3"/>
        <v>93327.84999999998</v>
      </c>
      <c r="M20" s="25">
        <f t="shared" si="3"/>
        <v>634.9819086620691</v>
      </c>
      <c r="N20" s="61">
        <f t="shared" si="4"/>
        <v>93962.83190866205</v>
      </c>
      <c r="O20" s="56">
        <f>742845.45-O14-O17-O18-O19-O24-O25</f>
        <v>534062.5299999999</v>
      </c>
    </row>
    <row r="21" spans="1:15" ht="12.75" customHeight="1" hidden="1" outlineLevel="1">
      <c r="A21" s="38" t="s">
        <v>10</v>
      </c>
      <c r="B21" s="67"/>
      <c r="C21" s="25">
        <v>0</v>
      </c>
      <c r="D21" s="25"/>
      <c r="E21" s="61">
        <f t="shared" si="2"/>
        <v>0</v>
      </c>
      <c r="F21" s="25"/>
      <c r="G21" s="25"/>
      <c r="H21" s="63">
        <f t="shared" si="1"/>
        <v>0</v>
      </c>
      <c r="I21" s="25"/>
      <c r="J21" s="26"/>
      <c r="K21" s="63">
        <f t="shared" si="0"/>
        <v>0</v>
      </c>
      <c r="L21" s="25">
        <f t="shared" si="3"/>
        <v>0</v>
      </c>
      <c r="M21" s="25"/>
      <c r="N21" s="61">
        <f t="shared" si="4"/>
        <v>0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12.75" collapsed="1">
      <c r="A24" s="38" t="s">
        <v>25</v>
      </c>
      <c r="B24" s="67"/>
      <c r="C24" s="25">
        <v>1120.35</v>
      </c>
      <c r="D24" s="25"/>
      <c r="E24" s="61">
        <f t="shared" si="2"/>
        <v>1120.35</v>
      </c>
      <c r="F24" s="25">
        <f>'[1]TDSheet'!$L$41+'[7]TDSheet'!$G$39</f>
        <v>8234.369999999999</v>
      </c>
      <c r="G24" s="25"/>
      <c r="H24" s="63">
        <f t="shared" si="1"/>
        <v>8234.369999999999</v>
      </c>
      <c r="I24" s="25">
        <f>'[2]TDSheet'!$S$34</f>
        <v>8088.65</v>
      </c>
      <c r="J24" s="26"/>
      <c r="K24" s="63">
        <f t="shared" si="0"/>
        <v>8088.65</v>
      </c>
      <c r="L24" s="25">
        <f t="shared" si="3"/>
        <v>1266.0699999999997</v>
      </c>
      <c r="M24" s="25"/>
      <c r="N24" s="61">
        <f t="shared" si="4"/>
        <v>1266.0699999999997</v>
      </c>
      <c r="O24" s="56">
        <v>1623.92</v>
      </c>
    </row>
    <row r="25" spans="1:15" ht="12.75" outlineLevel="1">
      <c r="A25" s="38" t="s">
        <v>18</v>
      </c>
      <c r="B25" s="67"/>
      <c r="C25" s="25"/>
      <c r="D25" s="25"/>
      <c r="E25" s="61">
        <f t="shared" si="2"/>
        <v>0</v>
      </c>
      <c r="F25" s="25"/>
      <c r="G25" s="25"/>
      <c r="H25" s="63">
        <f t="shared" si="1"/>
        <v>0</v>
      </c>
      <c r="I25" s="25"/>
      <c r="J25" s="26"/>
      <c r="K25" s="63">
        <f t="shared" si="0"/>
        <v>0</v>
      </c>
      <c r="L25" s="25">
        <f t="shared" si="3"/>
        <v>0</v>
      </c>
      <c r="M25" s="25"/>
      <c r="N25" s="61">
        <f t="shared" si="4"/>
        <v>0</v>
      </c>
      <c r="O25" s="56"/>
    </row>
    <row r="26" spans="1:15" ht="12.75" outlineLevel="1">
      <c r="A26" s="38" t="s">
        <v>27</v>
      </c>
      <c r="B26" s="67"/>
      <c r="C26" s="25"/>
      <c r="D26" s="25"/>
      <c r="E26" s="61">
        <f t="shared" si="2"/>
        <v>0</v>
      </c>
      <c r="F26" s="25"/>
      <c r="G26" s="25"/>
      <c r="H26" s="63">
        <f t="shared" si="1"/>
        <v>0</v>
      </c>
      <c r="I26" s="25"/>
      <c r="J26" s="26"/>
      <c r="K26" s="63">
        <f t="shared" si="0"/>
        <v>0</v>
      </c>
      <c r="L26" s="25">
        <f t="shared" si="3"/>
        <v>0</v>
      </c>
      <c r="M26" s="25"/>
      <c r="N26" s="61">
        <f t="shared" si="4"/>
        <v>0</v>
      </c>
      <c r="O26" s="56"/>
    </row>
    <row r="27" spans="1:15" ht="12.75" outlineLevel="1">
      <c r="A27" s="38" t="s">
        <v>11</v>
      </c>
      <c r="B27" s="67"/>
      <c r="C27" s="25"/>
      <c r="D27" s="25"/>
      <c r="E27" s="61">
        <f t="shared" si="2"/>
        <v>0</v>
      </c>
      <c r="F27" s="25"/>
      <c r="G27" s="25"/>
      <c r="H27" s="63">
        <f t="shared" si="1"/>
        <v>0</v>
      </c>
      <c r="I27" s="25"/>
      <c r="J27" s="26"/>
      <c r="K27" s="63">
        <f t="shared" si="0"/>
        <v>0</v>
      </c>
      <c r="L27" s="25">
        <f t="shared" si="3"/>
        <v>0</v>
      </c>
      <c r="M27" s="25">
        <f>D27+G27-J27</f>
        <v>0</v>
      </c>
      <c r="N27" s="61">
        <f t="shared" si="4"/>
        <v>0</v>
      </c>
      <c r="O27" s="56"/>
    </row>
    <row r="28" spans="1:15" ht="12.75">
      <c r="A28" s="41" t="s">
        <v>12</v>
      </c>
      <c r="B28" s="68"/>
      <c r="C28" s="42">
        <f>SUM(C14:C27)</f>
        <v>191815.67999999996</v>
      </c>
      <c r="D28" s="42">
        <f>SUM(D14:D27)</f>
        <v>-115.86000000000001</v>
      </c>
      <c r="E28" s="62">
        <f>SUM(C28:D28)</f>
        <v>191699.81999999998</v>
      </c>
      <c r="F28" s="43">
        <f>SUM(F14:F27)</f>
        <v>682325.11</v>
      </c>
      <c r="G28" s="42">
        <f>SUM(G14:G27)</f>
        <v>7311.892688207678</v>
      </c>
      <c r="H28" s="64">
        <f>F28+G28</f>
        <v>689637.0026882077</v>
      </c>
      <c r="I28" s="43">
        <f>SUM(I14:I27)</f>
        <v>729883.5</v>
      </c>
      <c r="J28" s="45">
        <f>SUM(J14:J27)</f>
        <v>6561.050779545609</v>
      </c>
      <c r="K28" s="64">
        <f>I28+J28</f>
        <v>736444.5507795456</v>
      </c>
      <c r="L28" s="46">
        <f>SUM(L14:L27)</f>
        <v>144257.28999999998</v>
      </c>
      <c r="M28" s="44">
        <f>SUM(M14:M27)</f>
        <v>634.9819086620691</v>
      </c>
      <c r="N28" s="62">
        <f>L28+M28</f>
        <v>144892.27190866205</v>
      </c>
      <c r="O28" s="57">
        <f>SUM(O14:O27)</f>
        <v>742845.45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98960.13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52"/>
      <c r="C32" s="12"/>
      <c r="D32" s="12"/>
      <c r="E32" s="12"/>
      <c r="F32" s="53">
        <v>146.41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85595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618.44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8316.68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3.6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4280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0"/>
  <sheetViews>
    <sheetView zoomScalePageLayoutView="0" workbookViewId="0" topLeftCell="A10">
      <selection activeCell="R20" sqref="R20"/>
    </sheetView>
  </sheetViews>
  <sheetFormatPr defaultColWidth="9.00390625" defaultRowHeight="12.75" outlineLevelRow="2" outlineLevelCol="1"/>
  <cols>
    <col min="1" max="1" width="15.25390625" style="12" customWidth="1"/>
    <col min="2" max="2" width="15.25390625" style="12" hidden="1" customWidth="1" outlineLevel="1"/>
    <col min="3" max="3" width="9.125" style="12" customWidth="1" collapsed="1"/>
    <col min="4" max="4" width="10.375" style="12" customWidth="1"/>
    <col min="5" max="16384" width="9.125" style="12" customWidth="1"/>
  </cols>
  <sheetData>
    <row r="1" spans="1:14" ht="12.75">
      <c r="A1" s="126" t="s">
        <v>29</v>
      </c>
      <c r="B1" s="126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</row>
    <row r="2" spans="1:14" ht="12.75">
      <c r="A2" s="17"/>
      <c r="B2" s="1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2.75">
      <c r="A3" s="114" t="s">
        <v>73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4" ht="12.75" customHeight="1">
      <c r="A4" s="97" t="s">
        <v>0</v>
      </c>
      <c r="B4" s="97"/>
      <c r="C4" s="98"/>
      <c r="D4" s="99"/>
      <c r="F4" s="16">
        <v>48</v>
      </c>
      <c r="G4" s="11"/>
      <c r="H4" s="11"/>
      <c r="I4" s="11"/>
      <c r="J4" s="11"/>
      <c r="K4" s="11"/>
      <c r="L4" s="11"/>
      <c r="M4" s="11"/>
      <c r="N4" s="11"/>
    </row>
    <row r="5" spans="1:14" ht="12.75" customHeight="1">
      <c r="A5" s="113" t="s">
        <v>20</v>
      </c>
      <c r="B5" s="113"/>
      <c r="C5" s="99"/>
      <c r="D5" s="11"/>
      <c r="F5" s="16">
        <v>4990.8</v>
      </c>
      <c r="G5" s="15"/>
      <c r="H5" s="15"/>
      <c r="I5" s="15"/>
      <c r="J5" s="15"/>
      <c r="K5" s="11"/>
      <c r="L5" s="11"/>
      <c r="M5" s="11"/>
      <c r="N5" s="11"/>
    </row>
    <row r="6" spans="1:14" ht="12.75" customHeight="1">
      <c r="A6" s="97" t="s">
        <v>21</v>
      </c>
      <c r="B6" s="97"/>
      <c r="C6" s="98"/>
      <c r="D6" s="98"/>
      <c r="F6" s="16">
        <v>427.6</v>
      </c>
      <c r="G6" s="15"/>
      <c r="I6" s="15"/>
      <c r="J6" s="15"/>
      <c r="K6" s="11"/>
      <c r="L6" s="11"/>
      <c r="M6" s="11"/>
      <c r="N6" s="11"/>
    </row>
    <row r="7" spans="1:14" ht="12.75">
      <c r="A7" s="97" t="s">
        <v>22</v>
      </c>
      <c r="B7" s="97"/>
      <c r="C7" s="98"/>
      <c r="D7" s="98"/>
      <c r="F7" s="16">
        <f>F6+F5</f>
        <v>5418.400000000001</v>
      </c>
      <c r="G7" s="15"/>
      <c r="H7" s="15"/>
      <c r="I7" s="15"/>
      <c r="J7" s="15"/>
      <c r="K7" s="11"/>
      <c r="L7" s="11"/>
      <c r="M7" s="11"/>
      <c r="N7" s="11"/>
    </row>
    <row r="8" spans="1:14" ht="12.75" customHeight="1">
      <c r="A8" s="97" t="s">
        <v>1</v>
      </c>
      <c r="B8" s="97"/>
      <c r="C8" s="98"/>
      <c r="D8" s="98"/>
      <c r="E8" s="99"/>
      <c r="F8" s="16">
        <v>103</v>
      </c>
      <c r="G8" s="15"/>
      <c r="H8" s="15"/>
      <c r="I8" s="15"/>
      <c r="J8" s="15"/>
      <c r="K8" s="11"/>
      <c r="L8" s="11"/>
      <c r="M8" s="11"/>
      <c r="N8" s="11"/>
    </row>
    <row r="9" spans="1:14" ht="12.75" customHeight="1">
      <c r="A9" s="100" t="s">
        <v>23</v>
      </c>
      <c r="B9" s="100"/>
      <c r="C9" s="99"/>
      <c r="D9" s="99"/>
      <c r="E9" s="99"/>
      <c r="F9" s="16">
        <v>456</v>
      </c>
      <c r="G9" s="15"/>
      <c r="H9" s="15"/>
      <c r="I9" s="15"/>
      <c r="J9" s="15"/>
      <c r="K9" s="11"/>
      <c r="L9" s="11"/>
      <c r="M9" s="11"/>
      <c r="N9" s="11"/>
    </row>
    <row r="10" spans="1:14" ht="12.75">
      <c r="A10" s="125" t="s">
        <v>2</v>
      </c>
      <c r="B10" s="125"/>
      <c r="C10" s="102"/>
      <c r="D10" s="102"/>
      <c r="E10" s="102"/>
      <c r="F10" s="102"/>
      <c r="G10" s="102"/>
      <c r="H10" s="102"/>
      <c r="I10" s="102"/>
      <c r="J10" s="102"/>
      <c r="K10" s="102"/>
      <c r="L10" s="10"/>
      <c r="M10" s="102"/>
      <c r="N10" s="102"/>
    </row>
    <row r="11" spans="1:2" ht="12.75">
      <c r="A11" s="18"/>
      <c r="B11" s="18"/>
    </row>
    <row r="12" spans="1:16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  <c r="P12" s="12"/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 customHeight="1" hidden="1" outlineLevel="1">
      <c r="A14" s="38" t="s">
        <v>14</v>
      </c>
      <c r="B14" s="67"/>
      <c r="C14" s="25"/>
      <c r="D14" s="25"/>
      <c r="E14" s="61">
        <f>SUM(C14:D14)</f>
        <v>0</v>
      </c>
      <c r="F14" s="25"/>
      <c r="G14" s="25"/>
      <c r="H14" s="63">
        <f>SUM(F14:G14)</f>
        <v>0</v>
      </c>
      <c r="I14" s="25"/>
      <c r="J14" s="26"/>
      <c r="K14" s="63">
        <f>SUM(I14:J14)</f>
        <v>0</v>
      </c>
      <c r="L14" s="25">
        <f>C14+F14-I14</f>
        <v>0</v>
      </c>
      <c r="M14" s="25">
        <f>D14+G14-J14</f>
        <v>0</v>
      </c>
      <c r="N14" s="61">
        <f>L14+M14</f>
        <v>0</v>
      </c>
      <c r="O14" s="58"/>
    </row>
    <row r="15" spans="1:15" ht="12.75" customHeight="1" hidden="1" outlineLevel="1">
      <c r="A15" s="38" t="s">
        <v>26</v>
      </c>
      <c r="B15" s="67"/>
      <c r="C15" s="25"/>
      <c r="D15" s="25"/>
      <c r="E15" s="61">
        <f>SUM(C15:D15)</f>
        <v>0</v>
      </c>
      <c r="F15" s="25"/>
      <c r="G15" s="25"/>
      <c r="H15" s="63">
        <f aca="true" t="shared" si="0" ref="H15:H25">SUM(F15:G15)</f>
        <v>0</v>
      </c>
      <c r="I15" s="25"/>
      <c r="J15" s="26"/>
      <c r="K15" s="63">
        <f aca="true" t="shared" si="1" ref="K15:K25">SUM(I15:J15)</f>
        <v>0</v>
      </c>
      <c r="L15" s="25">
        <f>C15+F15-I15</f>
        <v>0</v>
      </c>
      <c r="M15" s="25">
        <f aca="true" t="shared" si="2" ref="M15:M24">D15+G15-J15</f>
        <v>0</v>
      </c>
      <c r="N15" s="61">
        <f>L15+M15</f>
        <v>0</v>
      </c>
      <c r="O15" s="56"/>
    </row>
    <row r="16" spans="1:15" ht="25.5" customHeight="1" hidden="1" outlineLevel="1">
      <c r="A16" s="39" t="s">
        <v>9</v>
      </c>
      <c r="B16" s="67"/>
      <c r="C16" s="25"/>
      <c r="D16" s="25"/>
      <c r="E16" s="61">
        <f>SUM(C16:D16)</f>
        <v>0</v>
      </c>
      <c r="F16" s="25"/>
      <c r="G16" s="25"/>
      <c r="H16" s="63">
        <f t="shared" si="0"/>
        <v>0</v>
      </c>
      <c r="I16" s="25"/>
      <c r="J16" s="26"/>
      <c r="K16" s="63">
        <f t="shared" si="1"/>
        <v>0</v>
      </c>
      <c r="L16" s="25">
        <f>C16+F16-I16</f>
        <v>0</v>
      </c>
      <c r="M16" s="25">
        <f t="shared" si="2"/>
        <v>0</v>
      </c>
      <c r="N16" s="61">
        <f>L16+M16</f>
        <v>0</v>
      </c>
      <c r="O16" s="56"/>
    </row>
    <row r="17" spans="1:15" ht="12.75" customHeight="1" hidden="1" outlineLevel="1">
      <c r="A17" s="39" t="s">
        <v>16</v>
      </c>
      <c r="B17" s="67"/>
      <c r="C17" s="25"/>
      <c r="D17" s="25"/>
      <c r="E17" s="61">
        <f>SUM(C17:D17)</f>
        <v>0</v>
      </c>
      <c r="F17" s="40"/>
      <c r="G17" s="25"/>
      <c r="H17" s="63">
        <f t="shared" si="0"/>
        <v>0</v>
      </c>
      <c r="I17" s="25"/>
      <c r="J17" s="26"/>
      <c r="K17" s="63">
        <f t="shared" si="1"/>
        <v>0</v>
      </c>
      <c r="L17" s="25">
        <f>C17+F17-I17</f>
        <v>0</v>
      </c>
      <c r="M17" s="25">
        <f t="shared" si="2"/>
        <v>0</v>
      </c>
      <c r="N17" s="61">
        <f>L17+M17</f>
        <v>0</v>
      </c>
      <c r="O17" s="56"/>
    </row>
    <row r="18" spans="1:15" ht="24" collapsed="1">
      <c r="A18" s="38" t="s">
        <v>13</v>
      </c>
      <c r="B18" s="67"/>
      <c r="C18" s="25">
        <v>19641.530000000006</v>
      </c>
      <c r="D18" s="25">
        <v>0</v>
      </c>
      <c r="E18" s="61">
        <f aca="true" t="shared" si="3" ref="E18:E27">SUM(C18:D18)</f>
        <v>19641.530000000006</v>
      </c>
      <c r="F18" s="25">
        <f>'[1]TDSheet'!$J$11+'[4]TDSheet'!$G$10</f>
        <v>184197.19</v>
      </c>
      <c r="G18" s="25"/>
      <c r="H18" s="63">
        <f t="shared" si="0"/>
        <v>184197.19</v>
      </c>
      <c r="I18" s="25">
        <f>'[2]TDSheet'!$P$11</f>
        <v>173368.6</v>
      </c>
      <c r="J18" s="26"/>
      <c r="K18" s="63">
        <f t="shared" si="1"/>
        <v>173368.6</v>
      </c>
      <c r="L18" s="25">
        <f aca="true" t="shared" si="4" ref="L18:L24">C18+F18-I18</f>
        <v>30470.119999999995</v>
      </c>
      <c r="M18" s="25">
        <f t="shared" si="2"/>
        <v>0</v>
      </c>
      <c r="N18" s="61">
        <f>L18+M18</f>
        <v>30470.119999999995</v>
      </c>
      <c r="O18" s="56">
        <v>157583.25</v>
      </c>
    </row>
    <row r="19" spans="1:15" ht="25.5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3"/>
        <v>0</v>
      </c>
      <c r="F19" s="25"/>
      <c r="G19" s="25"/>
      <c r="H19" s="63">
        <f t="shared" si="0"/>
        <v>0</v>
      </c>
      <c r="I19" s="25"/>
      <c r="J19" s="26"/>
      <c r="K19" s="63">
        <f t="shared" si="1"/>
        <v>0</v>
      </c>
      <c r="L19" s="25">
        <f t="shared" si="4"/>
        <v>0</v>
      </c>
      <c r="M19" s="25">
        <f t="shared" si="2"/>
        <v>0</v>
      </c>
      <c r="N19" s="61">
        <f aca="true" t="shared" si="5" ref="N19:N24">L19+M19</f>
        <v>0</v>
      </c>
      <c r="O19" s="56"/>
    </row>
    <row r="20" spans="1:15" ht="41.25" customHeight="1" collapsed="1">
      <c r="A20" s="38" t="s">
        <v>8</v>
      </c>
      <c r="B20" s="67"/>
      <c r="C20" s="25">
        <v>69539.07999999999</v>
      </c>
      <c r="D20" s="25">
        <v>-190.64999999999998</v>
      </c>
      <c r="E20" s="61">
        <f t="shared" si="3"/>
        <v>69348.43</v>
      </c>
      <c r="F20" s="25">
        <f>'[1]TDSheet'!$H$11</f>
        <v>691191</v>
      </c>
      <c r="G20" s="25">
        <f>'[17]начисление НЖП'!$B$7+'[17]начисление НЖП'!$K$7</f>
        <v>106524.59752383662</v>
      </c>
      <c r="H20" s="63">
        <f t="shared" si="0"/>
        <v>797715.5975238367</v>
      </c>
      <c r="I20" s="25">
        <f>'[2]TDSheet'!$N$11</f>
        <v>650745.7</v>
      </c>
      <c r="J20" s="26">
        <f>'[17]начисление НЖП'!$C$7+'[17]начисление НЖП'!$L$7</f>
        <v>74605.3774194585</v>
      </c>
      <c r="K20" s="63">
        <f t="shared" si="1"/>
        <v>725351.0774194584</v>
      </c>
      <c r="L20" s="25">
        <f t="shared" si="4"/>
        <v>109984.38</v>
      </c>
      <c r="M20" s="25">
        <f t="shared" si="2"/>
        <v>31728.57010437813</v>
      </c>
      <c r="N20" s="61">
        <f t="shared" si="5"/>
        <v>141712.95010437813</v>
      </c>
      <c r="O20" s="56">
        <f>800428.28-O18-O25</f>
        <v>641345.03</v>
      </c>
    </row>
    <row r="21" spans="1:15" ht="12.75" customHeight="1" hidden="1" outlineLevel="1">
      <c r="A21" s="38" t="s">
        <v>10</v>
      </c>
      <c r="B21" s="67"/>
      <c r="C21" s="25">
        <v>0</v>
      </c>
      <c r="D21" s="25">
        <v>0</v>
      </c>
      <c r="E21" s="61">
        <f t="shared" si="3"/>
        <v>0</v>
      </c>
      <c r="F21" s="25"/>
      <c r="G21" s="25"/>
      <c r="H21" s="63">
        <f t="shared" si="0"/>
        <v>0</v>
      </c>
      <c r="I21" s="25"/>
      <c r="J21" s="26"/>
      <c r="K21" s="63">
        <f t="shared" si="1"/>
        <v>0</v>
      </c>
      <c r="L21" s="25">
        <f t="shared" si="4"/>
        <v>0</v>
      </c>
      <c r="M21" s="25">
        <f t="shared" si="2"/>
        <v>0</v>
      </c>
      <c r="N21" s="61">
        <f t="shared" si="5"/>
        <v>0</v>
      </c>
      <c r="O21" s="56"/>
    </row>
    <row r="22" spans="1:15" ht="51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3"/>
        <v>0</v>
      </c>
      <c r="F22" s="25"/>
      <c r="G22" s="25"/>
      <c r="H22" s="63">
        <f t="shared" si="0"/>
        <v>0</v>
      </c>
      <c r="I22" s="25"/>
      <c r="J22" s="26"/>
      <c r="K22" s="63">
        <f t="shared" si="1"/>
        <v>0</v>
      </c>
      <c r="L22" s="25">
        <f t="shared" si="4"/>
        <v>0</v>
      </c>
      <c r="M22" s="25">
        <f t="shared" si="2"/>
        <v>0</v>
      </c>
      <c r="N22" s="61">
        <f t="shared" si="5"/>
        <v>0</v>
      </c>
      <c r="O22" s="56"/>
    </row>
    <row r="23" spans="1:15" ht="51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3"/>
        <v>0</v>
      </c>
      <c r="F23" s="25"/>
      <c r="G23" s="25"/>
      <c r="H23" s="63">
        <f t="shared" si="0"/>
        <v>0</v>
      </c>
      <c r="I23" s="25"/>
      <c r="J23" s="26"/>
      <c r="K23" s="63">
        <f t="shared" si="1"/>
        <v>0</v>
      </c>
      <c r="L23" s="25">
        <f t="shared" si="4"/>
        <v>0</v>
      </c>
      <c r="M23" s="25">
        <f t="shared" si="2"/>
        <v>0</v>
      </c>
      <c r="N23" s="61">
        <f t="shared" si="5"/>
        <v>0</v>
      </c>
      <c r="O23" s="56"/>
    </row>
    <row r="24" spans="1:15" ht="24" collapsed="1">
      <c r="A24" s="38" t="s">
        <v>25</v>
      </c>
      <c r="B24" s="67"/>
      <c r="C24" s="25">
        <v>1188.87</v>
      </c>
      <c r="D24" s="25">
        <v>0</v>
      </c>
      <c r="E24" s="61">
        <f t="shared" si="3"/>
        <v>1188.87</v>
      </c>
      <c r="F24" s="25">
        <f>'[1]TDSheet'!$L$11</f>
        <v>12577.44</v>
      </c>
      <c r="G24" s="25"/>
      <c r="H24" s="63">
        <f t="shared" si="0"/>
        <v>12577.44</v>
      </c>
      <c r="I24" s="25">
        <f>'[2]TDSheet'!$S$11</f>
        <v>11918.89</v>
      </c>
      <c r="J24" s="26"/>
      <c r="K24" s="63">
        <f t="shared" si="1"/>
        <v>11918.89</v>
      </c>
      <c r="L24" s="25">
        <f t="shared" si="4"/>
        <v>1847.420000000002</v>
      </c>
      <c r="M24" s="25">
        <f t="shared" si="2"/>
        <v>0</v>
      </c>
      <c r="N24" s="61">
        <f t="shared" si="5"/>
        <v>1847.420000000002</v>
      </c>
      <c r="O24" s="56"/>
    </row>
    <row r="25" spans="1:15" ht="12.75">
      <c r="A25" s="38" t="s">
        <v>18</v>
      </c>
      <c r="B25" s="67"/>
      <c r="C25" s="25"/>
      <c r="D25" s="25"/>
      <c r="E25" s="61">
        <f t="shared" si="3"/>
        <v>0</v>
      </c>
      <c r="F25" s="25">
        <f>'[1]TDSheet'!$F$11</f>
        <v>1500</v>
      </c>
      <c r="G25" s="25"/>
      <c r="H25" s="63">
        <f t="shared" si="0"/>
        <v>1500</v>
      </c>
      <c r="I25" s="25">
        <f>'[2]TDSheet'!$I$11</f>
        <v>1500</v>
      </c>
      <c r="J25" s="26"/>
      <c r="K25" s="63">
        <f t="shared" si="1"/>
        <v>1500</v>
      </c>
      <c r="L25" s="25">
        <f aca="true" t="shared" si="6" ref="L25:M27">C25+F25-I25</f>
        <v>0</v>
      </c>
      <c r="M25" s="25">
        <f t="shared" si="6"/>
        <v>0</v>
      </c>
      <c r="N25" s="61">
        <f>L25+M25</f>
        <v>0</v>
      </c>
      <c r="O25" s="56">
        <v>1500</v>
      </c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>
        <f t="shared" si="6"/>
        <v>0</v>
      </c>
      <c r="M26" s="25">
        <f t="shared" si="6"/>
        <v>0</v>
      </c>
      <c r="N26" s="61">
        <f>L26+M26</f>
        <v>0</v>
      </c>
      <c r="O26" s="56"/>
    </row>
    <row r="27" spans="1:15" ht="25.5" customHeight="1" hidden="1" outlineLevel="1">
      <c r="A27" s="38" t="s">
        <v>11</v>
      </c>
      <c r="B27" s="67"/>
      <c r="C27" s="25"/>
      <c r="D27" s="25"/>
      <c r="E27" s="61">
        <f t="shared" si="3"/>
        <v>0</v>
      </c>
      <c r="F27" s="25"/>
      <c r="G27" s="25"/>
      <c r="H27" s="63">
        <f>F27+G27</f>
        <v>0</v>
      </c>
      <c r="I27" s="25"/>
      <c r="J27" s="26"/>
      <c r="K27" s="63">
        <f>I27+J27</f>
        <v>0</v>
      </c>
      <c r="L27" s="25">
        <f t="shared" si="6"/>
        <v>0</v>
      </c>
      <c r="M27" s="25">
        <f t="shared" si="6"/>
        <v>0</v>
      </c>
      <c r="N27" s="61">
        <f>L27+M27</f>
        <v>0</v>
      </c>
      <c r="O27" s="56"/>
    </row>
    <row r="28" spans="1:15" ht="12.75" collapsed="1">
      <c r="A28" s="41" t="s">
        <v>12</v>
      </c>
      <c r="B28" s="68"/>
      <c r="C28" s="42">
        <f>SUM(C14:C27)</f>
        <v>90369.47999999998</v>
      </c>
      <c r="D28" s="42">
        <f>SUM(D14:D27)</f>
        <v>-190.64999999999998</v>
      </c>
      <c r="E28" s="62">
        <f>SUM(C28:D28)</f>
        <v>90178.82999999999</v>
      </c>
      <c r="F28" s="43">
        <f>SUM(F14:F27)</f>
        <v>889465.6299999999</v>
      </c>
      <c r="G28" s="42">
        <f>SUM(G14:G27)</f>
        <v>106524.59752383662</v>
      </c>
      <c r="H28" s="64">
        <f>F28+G28</f>
        <v>995990.2275238365</v>
      </c>
      <c r="I28" s="43">
        <f>SUM(I14:I27)</f>
        <v>837533.19</v>
      </c>
      <c r="J28" s="45">
        <f>SUM(J14:J27)</f>
        <v>74605.3774194585</v>
      </c>
      <c r="K28" s="64">
        <f>I28+J28</f>
        <v>912138.5674194584</v>
      </c>
      <c r="L28" s="46">
        <f>SUM(L14:L27)</f>
        <v>142301.92</v>
      </c>
      <c r="M28" s="44">
        <f>SUM(M14:M27)</f>
        <v>31728.57010437813</v>
      </c>
      <c r="N28" s="62">
        <f>L28+M28</f>
        <v>174030.49010437814</v>
      </c>
      <c r="O28" s="57">
        <f>SUM(O14:O27)</f>
        <v>800428.28</v>
      </c>
    </row>
    <row r="29" spans="8:11" ht="12.75">
      <c r="H29" s="27"/>
      <c r="K29" s="27"/>
    </row>
    <row r="30" spans="1:12" ht="12.75">
      <c r="A30" s="48" t="s">
        <v>45</v>
      </c>
      <c r="B30" s="49"/>
      <c r="C30" s="49"/>
      <c r="D30" s="49"/>
      <c r="E30" s="49"/>
      <c r="F30" s="49"/>
      <c r="L30" s="47"/>
    </row>
    <row r="31" spans="1:6" ht="12.75">
      <c r="A31" s="54" t="s">
        <v>34</v>
      </c>
      <c r="B31" s="50"/>
      <c r="C31" s="50"/>
      <c r="D31" s="50"/>
      <c r="E31" s="50"/>
      <c r="F31" s="55">
        <f>SUM(F32:F40)</f>
        <v>185181.5</v>
      </c>
    </row>
    <row r="32" spans="1:6" ht="12.75">
      <c r="A32" s="52" t="s">
        <v>39</v>
      </c>
      <c r="F32" s="53">
        <v>128.07</v>
      </c>
    </row>
    <row r="33" spans="1:6" ht="12.75">
      <c r="A33" s="52" t="s">
        <v>35</v>
      </c>
      <c r="F33" s="53">
        <v>171370</v>
      </c>
    </row>
    <row r="34" spans="1:6" ht="12.75">
      <c r="A34" s="52" t="s">
        <v>36</v>
      </c>
      <c r="F34" s="53">
        <v>0</v>
      </c>
    </row>
    <row r="35" spans="1:6" ht="12.75">
      <c r="A35" s="52" t="s">
        <v>43</v>
      </c>
      <c r="F35" s="53">
        <v>0</v>
      </c>
    </row>
    <row r="36" spans="1:6" ht="12.75">
      <c r="A36" s="52" t="s">
        <v>37</v>
      </c>
      <c r="F36" s="53">
        <v>13677.5</v>
      </c>
    </row>
    <row r="37" spans="1:6" ht="12.75">
      <c r="A37" s="52" t="s">
        <v>42</v>
      </c>
      <c r="F37" s="53">
        <v>5.93</v>
      </c>
    </row>
    <row r="38" spans="1:6" ht="12.75">
      <c r="A38" s="52" t="s">
        <v>38</v>
      </c>
      <c r="F38" s="53">
        <v>0</v>
      </c>
    </row>
    <row r="39" spans="1:6" ht="12.75">
      <c r="A39" s="52" t="s">
        <v>40</v>
      </c>
      <c r="F39" s="53">
        <v>0</v>
      </c>
    </row>
    <row r="40" spans="1:6" ht="12.75">
      <c r="A40" s="52" t="s">
        <v>41</v>
      </c>
      <c r="F40" s="53">
        <v>0</v>
      </c>
    </row>
    <row r="41" ht="12.75" hidden="1" outlineLevel="2"/>
    <row r="42" ht="12.75" hidden="1" outlineLevel="2"/>
    <row r="43" ht="12.75" hidden="1" outlineLevel="2"/>
    <row r="44" ht="12.75" hidden="1" outlineLevel="2"/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O46"/>
  <sheetViews>
    <sheetView zoomScalePageLayoutView="0" workbookViewId="0" topLeftCell="A2">
      <selection activeCell="R11" sqref="R11"/>
    </sheetView>
  </sheetViews>
  <sheetFormatPr defaultColWidth="9.00390625" defaultRowHeight="12.75" outlineLevelRow="2" outlineLevelCol="1"/>
  <cols>
    <col min="1" max="1" width="17.25390625" style="0" customWidth="1"/>
    <col min="2" max="2" width="13.00390625" style="0" hidden="1" customWidth="1" outlineLevel="1"/>
    <col min="3" max="3" width="9.125" style="0" customWidth="1" collapsed="1"/>
    <col min="4" max="4" width="10.375" style="0" customWidth="1"/>
    <col min="6" max="6" width="10.125" style="0" bestFit="1" customWidth="1"/>
    <col min="9" max="9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72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28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1414.2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68.8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1483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52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170.5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1040.7300000000014</v>
      </c>
      <c r="D17" s="25">
        <v>0</v>
      </c>
      <c r="E17" s="61">
        <f>SUM(C17:D17)</f>
        <v>1040.7300000000014</v>
      </c>
      <c r="F17" s="40">
        <f>'[1]TDSheet'!$G$42</f>
        <v>15031.46</v>
      </c>
      <c r="G17" s="25"/>
      <c r="H17" s="63">
        <f aca="true" t="shared" si="3" ref="H17:H27">F17+G17</f>
        <v>15031.46</v>
      </c>
      <c r="I17" s="25">
        <f>'[2]TDSheet'!$K$36</f>
        <v>14942.44</v>
      </c>
      <c r="J17" s="26"/>
      <c r="K17" s="63">
        <f t="shared" si="0"/>
        <v>14942.44</v>
      </c>
      <c r="L17" s="25">
        <f t="shared" si="1"/>
        <v>1129.75</v>
      </c>
      <c r="M17" s="25">
        <f t="shared" si="1"/>
        <v>0</v>
      </c>
      <c r="N17" s="61">
        <f t="shared" si="2"/>
        <v>1129.75</v>
      </c>
      <c r="O17" s="56">
        <v>14791.85</v>
      </c>
    </row>
    <row r="18" spans="1:15" ht="24">
      <c r="A18" s="38" t="s">
        <v>13</v>
      </c>
      <c r="B18" s="67"/>
      <c r="C18" s="25">
        <v>3250.7000000000044</v>
      </c>
      <c r="D18" s="25">
        <v>0</v>
      </c>
      <c r="E18" s="61">
        <f aca="true" t="shared" si="4" ref="E18:E27">SUM(C18:D18)</f>
        <v>3250.7000000000044</v>
      </c>
      <c r="F18" s="25">
        <f>'[1]TDSheet'!$J$42+'[4]TDSheet'!$G$37</f>
        <v>53575.26</v>
      </c>
      <c r="G18" s="25"/>
      <c r="H18" s="63">
        <f t="shared" si="3"/>
        <v>53575.26</v>
      </c>
      <c r="I18" s="25">
        <f>'[2]TDSheet'!$P$36</f>
        <v>52012.66</v>
      </c>
      <c r="J18" s="26"/>
      <c r="K18" s="63">
        <f t="shared" si="0"/>
        <v>52012.66</v>
      </c>
      <c r="L18" s="25">
        <f t="shared" si="1"/>
        <v>4813.300000000003</v>
      </c>
      <c r="M18" s="25">
        <f t="shared" si="1"/>
        <v>0</v>
      </c>
      <c r="N18" s="61">
        <f t="shared" si="2"/>
        <v>4813.300000000003</v>
      </c>
      <c r="O18" s="56">
        <v>53575.4</v>
      </c>
    </row>
    <row r="19" spans="1:15" ht="24" outlineLevel="1">
      <c r="A19" s="38" t="s">
        <v>15</v>
      </c>
      <c r="B19" s="67"/>
      <c r="C19" s="25">
        <v>467.7500000000009</v>
      </c>
      <c r="D19" s="25">
        <v>0</v>
      </c>
      <c r="E19" s="61">
        <f t="shared" si="4"/>
        <v>467.7500000000009</v>
      </c>
      <c r="F19" s="25">
        <f>'[1]TDSheet'!$E$42</f>
        <v>8314.44</v>
      </c>
      <c r="G19" s="25"/>
      <c r="H19" s="63">
        <f t="shared" si="3"/>
        <v>8314.44</v>
      </c>
      <c r="I19" s="25">
        <f>'[2]TDSheet'!$C$36</f>
        <v>8184.19</v>
      </c>
      <c r="J19" s="26"/>
      <c r="K19" s="63">
        <f t="shared" si="0"/>
        <v>8184.19</v>
      </c>
      <c r="L19" s="25">
        <f t="shared" si="1"/>
        <v>598.0000000000027</v>
      </c>
      <c r="M19" s="25">
        <f t="shared" si="1"/>
        <v>0</v>
      </c>
      <c r="N19" s="61">
        <f t="shared" si="2"/>
        <v>598.0000000000027</v>
      </c>
      <c r="O19" s="56">
        <v>52700.15</v>
      </c>
    </row>
    <row r="20" spans="1:15" ht="36">
      <c r="A20" s="38" t="s">
        <v>8</v>
      </c>
      <c r="B20" s="67"/>
      <c r="C20" s="25">
        <v>14717.470000000001</v>
      </c>
      <c r="D20" s="25">
        <v>1736.67</v>
      </c>
      <c r="E20" s="61">
        <f t="shared" si="4"/>
        <v>16454.14</v>
      </c>
      <c r="F20" s="25">
        <f>'[1]TDSheet'!$H$42</f>
        <v>209211.66</v>
      </c>
      <c r="G20" s="25">
        <f>'[17]начисление НЖП'!$B$38+'[17]начисление НЖП'!$K$38</f>
        <v>14024.006136101005</v>
      </c>
      <c r="H20" s="63">
        <f t="shared" si="3"/>
        <v>223235.666136101</v>
      </c>
      <c r="I20" s="25">
        <f>'[2]TDSheet'!$N$36</f>
        <v>209282.72</v>
      </c>
      <c r="J20" s="26">
        <f>'[17]начисление НЖП'!$C$38+'[17]начисление НЖП'!$L$38</f>
        <v>12791.639538066025</v>
      </c>
      <c r="K20" s="63">
        <f t="shared" si="0"/>
        <v>222074.35953806603</v>
      </c>
      <c r="L20" s="25">
        <f t="shared" si="1"/>
        <v>14646.410000000003</v>
      </c>
      <c r="M20" s="25">
        <f t="shared" si="1"/>
        <v>2969.0365980349798</v>
      </c>
      <c r="N20" s="61">
        <f t="shared" si="2"/>
        <v>17615.446598034985</v>
      </c>
      <c r="O20" s="56">
        <f>378471.2-O14-O15-O16-O17-O18-O19-O21-O22-O23-O24-O25-O26-O27</f>
        <v>255903.80000000002</v>
      </c>
    </row>
    <row r="21" spans="1:15" ht="12.75">
      <c r="A21" s="38" t="s">
        <v>10</v>
      </c>
      <c r="B21" s="67"/>
      <c r="C21" s="25">
        <v>0</v>
      </c>
      <c r="D21" s="25">
        <v>388.1400000000003</v>
      </c>
      <c r="E21" s="61">
        <f t="shared" si="4"/>
        <v>388.1400000000003</v>
      </c>
      <c r="F21" s="25"/>
      <c r="G21" s="25">
        <f>'[17]коммунНЖП'!$E$143</f>
        <v>0</v>
      </c>
      <c r="H21" s="63">
        <f t="shared" si="3"/>
        <v>0</v>
      </c>
      <c r="I21" s="25"/>
      <c r="J21" s="26">
        <f>'[17]коммунНЖП'!$F$143</f>
        <v>388.14</v>
      </c>
      <c r="K21" s="63">
        <f t="shared" si="0"/>
        <v>388.14</v>
      </c>
      <c r="L21" s="25">
        <f t="shared" si="1"/>
        <v>0</v>
      </c>
      <c r="M21" s="25">
        <f t="shared" si="1"/>
        <v>0</v>
      </c>
      <c r="N21" s="61">
        <f t="shared" si="2"/>
        <v>0</v>
      </c>
      <c r="O21" s="56">
        <v>0</v>
      </c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200.48000000000002</v>
      </c>
      <c r="D24" s="25">
        <v>0</v>
      </c>
      <c r="E24" s="61">
        <f t="shared" si="4"/>
        <v>200.48000000000002</v>
      </c>
      <c r="F24" s="25">
        <f>'[1]TDSheet'!$L$42</f>
        <v>3563.19</v>
      </c>
      <c r="G24" s="25"/>
      <c r="H24" s="63">
        <f t="shared" si="3"/>
        <v>3563.19</v>
      </c>
      <c r="I24" s="25">
        <f>'[2]TDSheet'!$S$36</f>
        <v>3507.34</v>
      </c>
      <c r="J24" s="26"/>
      <c r="K24" s="63">
        <f t="shared" si="0"/>
        <v>3507.34</v>
      </c>
      <c r="L24" s="25">
        <f t="shared" si="1"/>
        <v>256.3299999999999</v>
      </c>
      <c r="M24" s="25">
        <f t="shared" si="1"/>
        <v>0</v>
      </c>
      <c r="N24" s="61">
        <f t="shared" si="2"/>
        <v>256.3299999999999</v>
      </c>
      <c r="O24" s="56"/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'[1]TDSheet'!$F$42</f>
        <v>1500</v>
      </c>
      <c r="G25" s="25"/>
      <c r="H25" s="63">
        <f t="shared" si="3"/>
        <v>1500</v>
      </c>
      <c r="I25" s="25">
        <f>'[2]TDSheet'!$I$36</f>
        <v>1500</v>
      </c>
      <c r="J25" s="26"/>
      <c r="K25" s="63">
        <f t="shared" si="0"/>
        <v>1500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>
        <v>1500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19677.13000000001</v>
      </c>
      <c r="D28" s="42">
        <f>SUM(D14:D27)</f>
        <v>2124.8100000000004</v>
      </c>
      <c r="E28" s="62">
        <f>SUM(C28:D28)</f>
        <v>21801.94000000001</v>
      </c>
      <c r="F28" s="43">
        <f>SUM(F14:F27)</f>
        <v>291196.01</v>
      </c>
      <c r="G28" s="42">
        <f>SUM(G14:G27)</f>
        <v>14024.006136101005</v>
      </c>
      <c r="H28" s="64">
        <f>F28+G28</f>
        <v>305220.01613610104</v>
      </c>
      <c r="I28" s="43">
        <f>SUM(I14:I27)</f>
        <v>289429.35000000003</v>
      </c>
      <c r="J28" s="45">
        <f>SUM(J14:J27)</f>
        <v>13179.779538066025</v>
      </c>
      <c r="K28" s="64">
        <f>I28+J28</f>
        <v>302609.12953806604</v>
      </c>
      <c r="L28" s="46">
        <f>SUM(L14:L27)</f>
        <v>21443.790000000008</v>
      </c>
      <c r="M28" s="44">
        <f>SUM(M14:M27)</f>
        <v>2969.0365980349798</v>
      </c>
      <c r="N28" s="62">
        <f>L28+M28</f>
        <v>24412.82659803499</v>
      </c>
      <c r="O28" s="57">
        <f>SUM(O14:O27)</f>
        <v>378471.2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5835.8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969.54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904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278.37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3682.27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1.62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39" right="0.42" top="0.78" bottom="1" header="0.36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7"/>
  <sheetViews>
    <sheetView zoomScalePageLayoutView="0" workbookViewId="0" topLeftCell="A8">
      <selection activeCell="Q13" sqref="Q13"/>
    </sheetView>
  </sheetViews>
  <sheetFormatPr defaultColWidth="9.00390625" defaultRowHeight="12.75" outlineLevelRow="1" outlineLevelCol="1"/>
  <cols>
    <col min="1" max="1" width="26.875" style="0" customWidth="1"/>
    <col min="2" max="2" width="12.25390625" style="0" hidden="1" customWidth="1" outlineLevel="1"/>
    <col min="3" max="3" width="9.125" style="0" customWidth="1" collapsed="1"/>
    <col min="6" max="6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71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85">
        <v>5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668.9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668.9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115.4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>C16+F16-I16</f>
        <v>0</v>
      </c>
      <c r="M16" s="25"/>
      <c r="N16" s="61">
        <f>L16+M16</f>
        <v>0</v>
      </c>
      <c r="O16" s="56"/>
    </row>
    <row r="17" spans="1:15" ht="12.75" customHeight="1" hidden="1" outlineLevel="1">
      <c r="A17" s="39" t="s">
        <v>16</v>
      </c>
      <c r="B17" s="67"/>
      <c r="C17" s="25">
        <v>0</v>
      </c>
      <c r="D17" s="25"/>
      <c r="E17" s="61">
        <f>SUM(C17:D17)</f>
        <v>0</v>
      </c>
      <c r="F17" s="40"/>
      <c r="G17" s="25"/>
      <c r="H17" s="63">
        <f aca="true" t="shared" si="1" ref="H17:H27">F17+G17</f>
        <v>0</v>
      </c>
      <c r="I17" s="25"/>
      <c r="J17" s="26"/>
      <c r="K17" s="63">
        <f t="shared" si="0"/>
        <v>0</v>
      </c>
      <c r="L17" s="25">
        <f>C17+F17-I17</f>
        <v>0</v>
      </c>
      <c r="M17" s="25"/>
      <c r="N17" s="61">
        <f>L17+M17</f>
        <v>0</v>
      </c>
      <c r="O17" s="56"/>
    </row>
    <row r="18" spans="1:15" ht="12.75" customHeight="1" hidden="1" outlineLevel="1">
      <c r="A18" s="38" t="s">
        <v>13</v>
      </c>
      <c r="B18" s="67"/>
      <c r="C18" s="25">
        <v>0</v>
      </c>
      <c r="D18" s="25"/>
      <c r="E18" s="61">
        <f aca="true" t="shared" si="2" ref="E18:E27">SUM(C18:D18)</f>
        <v>0</v>
      </c>
      <c r="F18" s="25"/>
      <c r="G18" s="25"/>
      <c r="H18" s="63">
        <f t="shared" si="1"/>
        <v>0</v>
      </c>
      <c r="I18" s="25"/>
      <c r="J18" s="26"/>
      <c r="K18" s="63">
        <f t="shared" si="0"/>
        <v>0</v>
      </c>
      <c r="L18" s="25">
        <f aca="true" t="shared" si="3" ref="L18:M27">C18+F18-I18</f>
        <v>0</v>
      </c>
      <c r="M18" s="25"/>
      <c r="N18" s="61">
        <f>L18+M18</f>
        <v>0</v>
      </c>
      <c r="O18" s="56"/>
    </row>
    <row r="19" spans="1:15" ht="12.75" customHeight="1" hidden="1" outlineLevel="1">
      <c r="A19" s="38" t="s">
        <v>15</v>
      </c>
      <c r="B19" s="67"/>
      <c r="C19" s="25">
        <v>0</v>
      </c>
      <c r="D19" s="25"/>
      <c r="E19" s="61">
        <f t="shared" si="2"/>
        <v>0</v>
      </c>
      <c r="F19" s="25"/>
      <c r="G19" s="25"/>
      <c r="H19" s="63">
        <f t="shared" si="1"/>
        <v>0</v>
      </c>
      <c r="I19" s="25"/>
      <c r="J19" s="26"/>
      <c r="K19" s="63">
        <f t="shared" si="0"/>
        <v>0</v>
      </c>
      <c r="L19" s="25">
        <f t="shared" si="3"/>
        <v>0</v>
      </c>
      <c r="M19" s="25"/>
      <c r="N19" s="61">
        <f aca="true" t="shared" si="4" ref="N19:N27">L19+M19</f>
        <v>0</v>
      </c>
      <c r="O19" s="56"/>
    </row>
    <row r="20" spans="1:15" ht="24" collapsed="1">
      <c r="A20" s="38" t="s">
        <v>8</v>
      </c>
      <c r="B20" s="67"/>
      <c r="C20" s="25">
        <v>19696.800000000003</v>
      </c>
      <c r="D20" s="25">
        <v>-23.519999999999996</v>
      </c>
      <c r="E20" s="61">
        <f t="shared" si="2"/>
        <v>19673.280000000002</v>
      </c>
      <c r="F20" s="25">
        <f>'[1]TDSheet'!$H$10</f>
        <v>98970.48</v>
      </c>
      <c r="G20" s="25">
        <f>'[17]начисление НЖП'!$K$6</f>
        <v>1484.4826597693616</v>
      </c>
      <c r="H20" s="63">
        <f t="shared" si="1"/>
        <v>100454.96265976936</v>
      </c>
      <c r="I20" s="25">
        <f>'[2]TDSheet'!$N$41</f>
        <v>77029.19</v>
      </c>
      <c r="J20" s="26">
        <f>'[17]начисление НЖП'!$L$6</f>
        <v>1332.0444551668004</v>
      </c>
      <c r="K20" s="63">
        <f t="shared" si="0"/>
        <v>78361.2344551668</v>
      </c>
      <c r="L20" s="25">
        <f t="shared" si="3"/>
        <v>41638.09</v>
      </c>
      <c r="M20" s="25">
        <f t="shared" si="3"/>
        <v>128.91820460256122</v>
      </c>
      <c r="N20" s="61">
        <f t="shared" si="4"/>
        <v>41767.008204602556</v>
      </c>
      <c r="O20" s="56">
        <f>79468.53-O24-O14</f>
        <v>79468.53</v>
      </c>
    </row>
    <row r="21" spans="1:15" ht="12.75" customHeight="1" hidden="1" outlineLevel="1">
      <c r="A21" s="38" t="s">
        <v>10</v>
      </c>
      <c r="B21" s="67"/>
      <c r="C21" s="25">
        <v>0</v>
      </c>
      <c r="D21" s="25"/>
      <c r="E21" s="61">
        <f t="shared" si="2"/>
        <v>0</v>
      </c>
      <c r="F21" s="25"/>
      <c r="G21" s="25"/>
      <c r="H21" s="63">
        <f t="shared" si="1"/>
        <v>0</v>
      </c>
      <c r="I21" s="25"/>
      <c r="J21" s="26"/>
      <c r="K21" s="63">
        <f t="shared" si="0"/>
        <v>0</v>
      </c>
      <c r="L21" s="25">
        <f t="shared" si="3"/>
        <v>0</v>
      </c>
      <c r="M21" s="25"/>
      <c r="N21" s="61">
        <f t="shared" si="4"/>
        <v>0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12.75" collapsed="1">
      <c r="A24" s="38" t="s">
        <v>25</v>
      </c>
      <c r="B24" s="67"/>
      <c r="C24" s="25">
        <v>336.59</v>
      </c>
      <c r="D24" s="25"/>
      <c r="E24" s="61">
        <f t="shared" si="2"/>
        <v>336.59</v>
      </c>
      <c r="F24" s="25">
        <f>'[1]TDSheet'!$L$10</f>
        <v>1685.76</v>
      </c>
      <c r="G24" s="25"/>
      <c r="H24" s="63">
        <f t="shared" si="1"/>
        <v>1685.76</v>
      </c>
      <c r="I24" s="25">
        <f>'[2]TDSheet'!$S$41</f>
        <v>1312.02</v>
      </c>
      <c r="J24" s="26"/>
      <c r="K24" s="63">
        <f t="shared" si="0"/>
        <v>1312.02</v>
      </c>
      <c r="L24" s="25">
        <f t="shared" si="3"/>
        <v>710.3299999999999</v>
      </c>
      <c r="M24" s="25"/>
      <c r="N24" s="61">
        <f t="shared" si="4"/>
        <v>710.3299999999999</v>
      </c>
      <c r="O24" s="56"/>
    </row>
    <row r="25" spans="1:15" ht="12.75" customHeight="1" hidden="1" outlineLevel="1">
      <c r="A25" s="38" t="s">
        <v>18</v>
      </c>
      <c r="B25" s="67"/>
      <c r="C25" s="25"/>
      <c r="D25" s="25"/>
      <c r="E25" s="61">
        <f t="shared" si="2"/>
        <v>0</v>
      </c>
      <c r="F25" s="25"/>
      <c r="G25" s="25"/>
      <c r="H25" s="63">
        <f t="shared" si="1"/>
        <v>0</v>
      </c>
      <c r="I25" s="25"/>
      <c r="J25" s="26"/>
      <c r="K25" s="63">
        <f t="shared" si="0"/>
        <v>0</v>
      </c>
      <c r="L25" s="25">
        <f t="shared" si="3"/>
        <v>0</v>
      </c>
      <c r="M25" s="25"/>
      <c r="N25" s="61">
        <f t="shared" si="4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2"/>
        <v>0</v>
      </c>
      <c r="F26" s="25"/>
      <c r="G26" s="25"/>
      <c r="H26" s="63">
        <f t="shared" si="1"/>
        <v>0</v>
      </c>
      <c r="I26" s="25"/>
      <c r="J26" s="26"/>
      <c r="K26" s="63">
        <f t="shared" si="0"/>
        <v>0</v>
      </c>
      <c r="L26" s="25">
        <f t="shared" si="3"/>
        <v>0</v>
      </c>
      <c r="M26" s="25"/>
      <c r="N26" s="61">
        <f t="shared" si="4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2"/>
        <v>0</v>
      </c>
      <c r="F27" s="25"/>
      <c r="G27" s="25"/>
      <c r="H27" s="63">
        <f t="shared" si="1"/>
        <v>0</v>
      </c>
      <c r="I27" s="25"/>
      <c r="J27" s="26"/>
      <c r="K27" s="63">
        <f t="shared" si="0"/>
        <v>0</v>
      </c>
      <c r="L27" s="25">
        <f t="shared" si="3"/>
        <v>0</v>
      </c>
      <c r="M27" s="25">
        <f>D27+G27-J27</f>
        <v>0</v>
      </c>
      <c r="N27" s="61">
        <f t="shared" si="4"/>
        <v>0</v>
      </c>
      <c r="O27" s="56"/>
    </row>
    <row r="28" spans="1:15" ht="12.75" collapsed="1">
      <c r="A28" s="41" t="s">
        <v>12</v>
      </c>
      <c r="B28" s="68"/>
      <c r="C28" s="42">
        <f>SUM(C14:C27)</f>
        <v>20033.390000000003</v>
      </c>
      <c r="D28" s="42">
        <f>SUM(D14:D27)</f>
        <v>-23.519999999999996</v>
      </c>
      <c r="E28" s="62">
        <f>SUM(C28:D28)</f>
        <v>20009.870000000003</v>
      </c>
      <c r="F28" s="43">
        <f>SUM(F14:F27)</f>
        <v>100656.23999999999</v>
      </c>
      <c r="G28" s="42">
        <f>SUM(G14:G27)</f>
        <v>1484.4826597693616</v>
      </c>
      <c r="H28" s="64">
        <f>F28+G28</f>
        <v>102140.72265976935</v>
      </c>
      <c r="I28" s="43">
        <f>SUM(I14:I27)</f>
        <v>78341.21</v>
      </c>
      <c r="J28" s="45">
        <f>SUM(J14:J27)</f>
        <v>1332.0444551668004</v>
      </c>
      <c r="K28" s="64">
        <f>I28+J28</f>
        <v>79673.25445516681</v>
      </c>
      <c r="L28" s="46">
        <f>SUM(L14:L27)</f>
        <v>42348.42</v>
      </c>
      <c r="M28" s="44">
        <f>SUM(M14:M27)</f>
        <v>128.91820460256122</v>
      </c>
      <c r="N28" s="62">
        <f>L28+M28</f>
        <v>42477.33820460256</v>
      </c>
      <c r="O28" s="57">
        <f>SUM(O14:O27)</f>
        <v>79468.53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801.9399999999999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15.81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785.4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0.73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PageLayoutView="0" workbookViewId="0" topLeftCell="A10">
      <selection activeCell="S13" sqref="S13"/>
    </sheetView>
  </sheetViews>
  <sheetFormatPr defaultColWidth="9.00390625" defaultRowHeight="12.75" outlineLevelRow="2" outlineLevelCol="1"/>
  <cols>
    <col min="1" max="1" width="17.25390625" style="0" customWidth="1"/>
    <col min="2" max="2" width="12.00390625" style="0" hidden="1" customWidth="1" outlineLevel="1"/>
    <col min="3" max="3" width="9.125" style="0" customWidth="1" collapsed="1"/>
    <col min="4" max="4" width="10.375" style="0" customWidth="1"/>
    <col min="6" max="6" width="10.125" style="0" bestFit="1" customWidth="1"/>
    <col min="9" max="9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70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111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5743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144.5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5887.5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302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1491.7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 customHeight="1" hidden="1" outlineLevel="1">
      <c r="A14" s="38" t="s">
        <v>14</v>
      </c>
      <c r="B14" s="67"/>
      <c r="C14" s="25"/>
      <c r="D14" s="25"/>
      <c r="E14" s="61">
        <f>SUM(C14:D14)</f>
        <v>0</v>
      </c>
      <c r="F14" s="25"/>
      <c r="G14" s="25"/>
      <c r="H14" s="63">
        <f>F14+G14</f>
        <v>0</v>
      </c>
      <c r="I14" s="25"/>
      <c r="J14" s="26"/>
      <c r="K14" s="63">
        <f>I14+J14</f>
        <v>0</v>
      </c>
      <c r="L14" s="25">
        <f>C14+F14-I14</f>
        <v>0</v>
      </c>
      <c r="M14" s="25">
        <f>D14+G14-J14</f>
        <v>0</v>
      </c>
      <c r="N14" s="61">
        <f>L14+M14</f>
        <v>0</v>
      </c>
      <c r="O14" s="58"/>
    </row>
    <row r="15" spans="1:15" ht="12.75" customHeight="1" hidden="1" outlineLevel="1">
      <c r="A15" s="38" t="s">
        <v>26</v>
      </c>
      <c r="B15" s="67"/>
      <c r="C15" s="25"/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/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ustomHeight="1" hidden="1" outlineLevel="1">
      <c r="A17" s="39" t="s">
        <v>16</v>
      </c>
      <c r="B17" s="67"/>
      <c r="C17" s="25"/>
      <c r="D17" s="25"/>
      <c r="E17" s="61">
        <f>SUM(C17:D17)</f>
        <v>0</v>
      </c>
      <c r="F17" s="40"/>
      <c r="G17" s="25"/>
      <c r="H17" s="63">
        <f aca="true" t="shared" si="3" ref="H17:H27">F17+G17</f>
        <v>0</v>
      </c>
      <c r="I17" s="25"/>
      <c r="J17" s="26"/>
      <c r="K17" s="63">
        <f t="shared" si="0"/>
        <v>0</v>
      </c>
      <c r="L17" s="25">
        <f t="shared" si="1"/>
        <v>0</v>
      </c>
      <c r="M17" s="25">
        <f t="shared" si="1"/>
        <v>0</v>
      </c>
      <c r="N17" s="61">
        <f t="shared" si="2"/>
        <v>0</v>
      </c>
      <c r="O17" s="56"/>
    </row>
    <row r="18" spans="1:15" ht="24" collapsed="1">
      <c r="A18" s="38" t="s">
        <v>13</v>
      </c>
      <c r="B18" s="67"/>
      <c r="C18" s="25"/>
      <c r="D18" s="25"/>
      <c r="E18" s="61">
        <f aca="true" t="shared" si="4" ref="E18:E27">SUM(C18:D18)</f>
        <v>0</v>
      </c>
      <c r="F18" s="25">
        <f>'[1]TDSheet'!$J$12</f>
        <v>107853.05</v>
      </c>
      <c r="G18" s="25"/>
      <c r="H18" s="63">
        <f t="shared" si="3"/>
        <v>107853.05</v>
      </c>
      <c r="I18" s="25">
        <f>'[2]TDSheet'!$P$32</f>
        <v>95102.66</v>
      </c>
      <c r="J18" s="26"/>
      <c r="K18" s="63">
        <f t="shared" si="0"/>
        <v>95102.66</v>
      </c>
      <c r="L18" s="25">
        <f t="shared" si="1"/>
        <v>12750.39</v>
      </c>
      <c r="M18" s="25">
        <f t="shared" si="1"/>
        <v>0</v>
      </c>
      <c r="N18" s="61">
        <f t="shared" si="2"/>
        <v>12750.39</v>
      </c>
      <c r="O18" s="56">
        <f>14902.09+91219.5</f>
        <v>106121.59</v>
      </c>
    </row>
    <row r="19" spans="1:15" ht="24">
      <c r="A19" s="38" t="s">
        <v>15</v>
      </c>
      <c r="B19" s="67"/>
      <c r="C19" s="25"/>
      <c r="D19" s="25"/>
      <c r="E19" s="61">
        <f t="shared" si="4"/>
        <v>0</v>
      </c>
      <c r="F19" s="25">
        <f>'[1]TDSheet'!$E$12</f>
        <v>19845.17</v>
      </c>
      <c r="G19" s="25"/>
      <c r="H19" s="63">
        <f t="shared" si="3"/>
        <v>19845.17</v>
      </c>
      <c r="I19" s="25">
        <f>'[2]TDSheet'!$C$32</f>
        <v>18096.93</v>
      </c>
      <c r="J19" s="26"/>
      <c r="K19" s="63">
        <f t="shared" si="0"/>
        <v>18096.93</v>
      </c>
      <c r="L19" s="25">
        <f t="shared" si="1"/>
        <v>1748.239999999998</v>
      </c>
      <c r="M19" s="25">
        <f t="shared" si="1"/>
        <v>0</v>
      </c>
      <c r="N19" s="61">
        <f t="shared" si="2"/>
        <v>1748.239999999998</v>
      </c>
      <c r="O19" s="56">
        <v>36404.63</v>
      </c>
    </row>
    <row r="20" spans="1:15" ht="36">
      <c r="A20" s="38" t="s">
        <v>8</v>
      </c>
      <c r="B20" s="67"/>
      <c r="C20" s="25"/>
      <c r="D20" s="25"/>
      <c r="E20" s="61">
        <f t="shared" si="4"/>
        <v>0</v>
      </c>
      <c r="F20" s="25">
        <f>'[1]TDSheet'!$H$12</f>
        <v>499379.93</v>
      </c>
      <c r="G20" s="25">
        <f>'[17]начисление НЖП'!$B$8+'[17]начисление НЖП'!$K$8</f>
        <v>24325.066167427292</v>
      </c>
      <c r="H20" s="63">
        <f t="shared" si="3"/>
        <v>523704.9961674273</v>
      </c>
      <c r="I20" s="25">
        <f>'[2]TDSheet'!$N$32</f>
        <v>454833.81</v>
      </c>
      <c r="J20" s="26">
        <f>'[17]начисление НЖП'!$C$8+'[17]начисление НЖП'!$L$8</f>
        <v>21429.86105216705</v>
      </c>
      <c r="K20" s="63">
        <f t="shared" si="0"/>
        <v>476263.6710521671</v>
      </c>
      <c r="L20" s="25">
        <f t="shared" si="1"/>
        <v>44546.119999999995</v>
      </c>
      <c r="M20" s="25">
        <f t="shared" si="1"/>
        <v>2895.2051152602435</v>
      </c>
      <c r="N20" s="61">
        <f t="shared" si="2"/>
        <v>47441.32511526024</v>
      </c>
      <c r="O20" s="56">
        <f>521771.3-O14-O15-O16-O17-O18-O19-O21-O22-O23-O24-O25-O26-O27</f>
        <v>379245.07999999996</v>
      </c>
    </row>
    <row r="21" spans="1:15" ht="12.75" customHeight="1" hidden="1" outlineLevel="1">
      <c r="A21" s="38" t="s">
        <v>10</v>
      </c>
      <c r="B21" s="67"/>
      <c r="C21" s="25"/>
      <c r="D21" s="25"/>
      <c r="E21" s="61">
        <f t="shared" si="4"/>
        <v>0</v>
      </c>
      <c r="F21" s="25"/>
      <c r="G21" s="25"/>
      <c r="H21" s="63">
        <f t="shared" si="3"/>
        <v>0</v>
      </c>
      <c r="I21" s="25"/>
      <c r="J21" s="26"/>
      <c r="K21" s="63">
        <f t="shared" si="0"/>
        <v>0</v>
      </c>
      <c r="L21" s="25">
        <f t="shared" si="1"/>
        <v>0</v>
      </c>
      <c r="M21" s="25">
        <f t="shared" si="1"/>
        <v>0</v>
      </c>
      <c r="N21" s="61">
        <f t="shared" si="2"/>
        <v>0</v>
      </c>
      <c r="O21" s="56"/>
    </row>
    <row r="22" spans="1:15" ht="48" customHeight="1" hidden="1" outlineLevel="1">
      <c r="A22" s="38" t="s">
        <v>19</v>
      </c>
      <c r="B22" s="67"/>
      <c r="C22" s="25"/>
      <c r="D22" s="25"/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/>
      <c r="D23" s="25"/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/>
      <c r="D24" s="25"/>
      <c r="E24" s="61">
        <f t="shared" si="4"/>
        <v>0</v>
      </c>
      <c r="F24" s="25">
        <f>'[1]TDSheet'!$L$12</f>
        <v>8505.81</v>
      </c>
      <c r="G24" s="25"/>
      <c r="H24" s="63">
        <f t="shared" si="3"/>
        <v>8505.81</v>
      </c>
      <c r="I24" s="25">
        <f>'[2]TDSheet'!$S$32</f>
        <v>7851.41</v>
      </c>
      <c r="J24" s="26"/>
      <c r="K24" s="63">
        <f t="shared" si="0"/>
        <v>7851.41</v>
      </c>
      <c r="L24" s="25">
        <f t="shared" si="1"/>
        <v>654.3999999999996</v>
      </c>
      <c r="M24" s="25">
        <f t="shared" si="1"/>
        <v>0</v>
      </c>
      <c r="N24" s="61">
        <f t="shared" si="2"/>
        <v>654.3999999999996</v>
      </c>
      <c r="O24" s="56"/>
    </row>
    <row r="25" spans="1:15" ht="12.75" customHeight="1" hidden="1" outlineLevel="1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0</v>
      </c>
      <c r="D28" s="42">
        <f>SUM(D14:D27)</f>
        <v>0</v>
      </c>
      <c r="E28" s="62">
        <f>SUM(C28:D28)</f>
        <v>0</v>
      </c>
      <c r="F28" s="43">
        <f>SUM(F14:F27)</f>
        <v>635583.9600000001</v>
      </c>
      <c r="G28" s="42">
        <f>SUM(G14:G27)</f>
        <v>24325.066167427292</v>
      </c>
      <c r="H28" s="64">
        <f>F28+G28</f>
        <v>659909.0261674274</v>
      </c>
      <c r="I28" s="43">
        <f>SUM(I14:I27)</f>
        <v>575884.81</v>
      </c>
      <c r="J28" s="45">
        <f>SUM(J14:J27)</f>
        <v>21429.86105216705</v>
      </c>
      <c r="K28" s="64">
        <f>I28+J28</f>
        <v>597314.6710521671</v>
      </c>
      <c r="L28" s="46">
        <f>SUM(L14:L27)</f>
        <v>59699.149999999994</v>
      </c>
      <c r="M28" s="44">
        <f>SUM(M14:M27)</f>
        <v>2895.2051152602435</v>
      </c>
      <c r="N28" s="62">
        <f>L28+M28</f>
        <v>62594.35511526024</v>
      </c>
      <c r="O28" s="57">
        <f>SUM(O14:O27)</f>
        <v>521771.29999999993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5018.88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1811.31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1120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150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1931.23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6.34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8">
      <selection activeCell="Q20" sqref="Q20"/>
    </sheetView>
  </sheetViews>
  <sheetFormatPr defaultColWidth="9.00390625" defaultRowHeight="12.75" outlineLevelRow="1" outlineLevelCol="1"/>
  <cols>
    <col min="1" max="1" width="28.125" style="0" customWidth="1"/>
    <col min="2" max="2" width="12.25390625" style="0" hidden="1" customWidth="1" outlineLevel="1"/>
    <col min="3" max="3" width="10.625" style="0" customWidth="1" collapsed="1"/>
    <col min="5" max="6" width="10.125" style="0" bestFit="1" customWidth="1"/>
    <col min="9" max="9" width="10.125" style="0" bestFit="1" customWidth="1"/>
    <col min="12" max="12" width="11.00390625" style="0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0" t="s">
        <v>47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14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2262.2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445.9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2708.1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31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302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12.75" collapsed="1">
      <c r="A16" s="39" t="s">
        <v>9</v>
      </c>
      <c r="B16" s="67"/>
      <c r="C16" s="25">
        <v>0</v>
      </c>
      <c r="D16" s="25">
        <v>-430.98</v>
      </c>
      <c r="E16" s="61">
        <f>SUM(C16:D16)</f>
        <v>-430.98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-430.98</v>
      </c>
      <c r="N16" s="61">
        <f t="shared" si="2"/>
        <v>-430.98</v>
      </c>
      <c r="O16" s="56"/>
    </row>
    <row r="17" spans="1:15" ht="12.75">
      <c r="A17" s="39" t="s">
        <v>16</v>
      </c>
      <c r="B17" s="67"/>
      <c r="C17" s="25">
        <v>1715.3499999999995</v>
      </c>
      <c r="D17" s="25">
        <v>0</v>
      </c>
      <c r="E17" s="61">
        <f>SUM(C17:D17)</f>
        <v>1715.3499999999995</v>
      </c>
      <c r="F17" s="40">
        <f>'[1]TDSheet'!$G$36</f>
        <v>7094.58</v>
      </c>
      <c r="G17" s="25"/>
      <c r="H17" s="63">
        <f aca="true" t="shared" si="3" ref="H17:H27">F17+G17</f>
        <v>7094.58</v>
      </c>
      <c r="I17" s="25">
        <f>'[2]TDSheet'!$K$40</f>
        <v>6547.8</v>
      </c>
      <c r="J17" s="26"/>
      <c r="K17" s="63">
        <f t="shared" si="0"/>
        <v>6547.8</v>
      </c>
      <c r="L17" s="25">
        <f t="shared" si="1"/>
        <v>2262.13</v>
      </c>
      <c r="M17" s="25">
        <f t="shared" si="1"/>
        <v>0</v>
      </c>
      <c r="N17" s="61">
        <f t="shared" si="2"/>
        <v>2262.13</v>
      </c>
      <c r="O17" s="56">
        <v>7099.39</v>
      </c>
    </row>
    <row r="18" spans="1:15" ht="12.75" customHeight="1" hidden="1" outlineLevel="1">
      <c r="A18" s="38" t="s">
        <v>13</v>
      </c>
      <c r="B18" s="67"/>
      <c r="C18" s="25">
        <v>0</v>
      </c>
      <c r="D18" s="25">
        <v>0</v>
      </c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12.75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24" collapsed="1">
      <c r="A20" s="38" t="s">
        <v>8</v>
      </c>
      <c r="B20" s="67"/>
      <c r="C20" s="25">
        <v>105246.72999999998</v>
      </c>
      <c r="D20" s="25">
        <v>6220.169999999998</v>
      </c>
      <c r="E20" s="61">
        <f t="shared" si="4"/>
        <v>111466.89999999998</v>
      </c>
      <c r="F20" s="25">
        <f>'[1]TDSheet'!$H$36</f>
        <v>334715.16</v>
      </c>
      <c r="G20" s="25">
        <f>'[17]начисление НЖП'!$B$32+'[17]начисление НЖП'!$K$32</f>
        <v>75570.457543611</v>
      </c>
      <c r="H20" s="63">
        <f t="shared" si="3"/>
        <v>410285.617543611</v>
      </c>
      <c r="I20" s="25">
        <f>'[2]TDSheet'!$N$40+'[2]TDSheet'!$L$40+'[2]TDSheet'!$E$40+'[2]TDSheet'!$D$40</f>
        <v>340902.92000000004</v>
      </c>
      <c r="J20" s="26">
        <f>'[17]начисление НЖП'!$C$32+'[17]начисление НЖП'!$L$32</f>
        <v>75471.99817467066</v>
      </c>
      <c r="K20" s="63">
        <f t="shared" si="0"/>
        <v>416374.9181746707</v>
      </c>
      <c r="L20" s="25">
        <f t="shared" si="1"/>
        <v>99058.96999999991</v>
      </c>
      <c r="M20" s="25">
        <f t="shared" si="1"/>
        <v>6318.629368940339</v>
      </c>
      <c r="N20" s="61">
        <f t="shared" si="2"/>
        <v>105377.59936894025</v>
      </c>
      <c r="O20" s="56">
        <f>554878.95-O14-O15-O16-O17-O18-O19-O21-O22-O23-O24-O25-O26-O27</f>
        <v>458031.79999999993</v>
      </c>
    </row>
    <row r="21" spans="1:15" ht="12.75">
      <c r="A21" s="38" t="s">
        <v>10</v>
      </c>
      <c r="B21" s="67"/>
      <c r="C21" s="25">
        <v>1391.82</v>
      </c>
      <c r="D21" s="25">
        <v>8599.589999999997</v>
      </c>
      <c r="E21" s="61">
        <f t="shared" si="4"/>
        <v>9991.409999999996</v>
      </c>
      <c r="F21" s="25"/>
      <c r="G21" s="25">
        <f>'[17]коммунНЖП'!$E$128</f>
        <v>86782.44</v>
      </c>
      <c r="H21" s="63">
        <f t="shared" si="3"/>
        <v>86782.44</v>
      </c>
      <c r="I21" s="25">
        <f>'[2]TDSheet'!$Q$40</f>
        <v>1391.82</v>
      </c>
      <c r="J21" s="26">
        <f>'[17]коммунНЖП'!$F$128</f>
        <v>83500.85</v>
      </c>
      <c r="K21" s="63">
        <f t="shared" si="0"/>
        <v>84892.67000000001</v>
      </c>
      <c r="L21" s="25">
        <f t="shared" si="1"/>
        <v>0</v>
      </c>
      <c r="M21" s="25">
        <f t="shared" si="1"/>
        <v>11881.179999999993</v>
      </c>
      <c r="N21" s="61">
        <f t="shared" si="2"/>
        <v>11881.179999999993</v>
      </c>
      <c r="O21" s="56">
        <v>89747.76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672.7400000000002</v>
      </c>
      <c r="D24" s="25">
        <v>0</v>
      </c>
      <c r="E24" s="61">
        <f t="shared" si="4"/>
        <v>672.7400000000002</v>
      </c>
      <c r="F24" s="25">
        <f>'[1]TDSheet'!$L$36</f>
        <v>5700.72</v>
      </c>
      <c r="G24" s="25"/>
      <c r="H24" s="63">
        <f t="shared" si="3"/>
        <v>5700.72</v>
      </c>
      <c r="I24" s="25">
        <f>'[2]TDSheet'!$S$40</f>
        <v>4943.32</v>
      </c>
      <c r="J24" s="26"/>
      <c r="K24" s="63">
        <f t="shared" si="0"/>
        <v>4943.32</v>
      </c>
      <c r="L24" s="25">
        <f t="shared" si="1"/>
        <v>1430.1400000000012</v>
      </c>
      <c r="M24" s="25">
        <f t="shared" si="1"/>
        <v>0</v>
      </c>
      <c r="N24" s="61">
        <f t="shared" si="2"/>
        <v>1430.1400000000012</v>
      </c>
      <c r="O24" s="56"/>
    </row>
    <row r="25" spans="1:15" ht="12.75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109026.64</v>
      </c>
      <c r="D28" s="42">
        <f>SUM(D14:D27)</f>
        <v>14388.779999999995</v>
      </c>
      <c r="E28" s="62">
        <f>SUM(C28:D28)</f>
        <v>123415.42</v>
      </c>
      <c r="F28" s="43">
        <f>SUM(F14:F27)</f>
        <v>347510.45999999996</v>
      </c>
      <c r="G28" s="42">
        <f>SUM(G14:G27)</f>
        <v>162352.897543611</v>
      </c>
      <c r="H28" s="64">
        <f>F28+G28</f>
        <v>509863.35754361097</v>
      </c>
      <c r="I28" s="43">
        <f>SUM(I14:I27)</f>
        <v>353785.86000000004</v>
      </c>
      <c r="J28" s="45">
        <f>SUM(J14:J27)</f>
        <v>158972.84817467065</v>
      </c>
      <c r="K28" s="64">
        <f>I28+J28</f>
        <v>512758.7081746707</v>
      </c>
      <c r="L28" s="46">
        <f>SUM(L14:L27)</f>
        <v>102751.23999999992</v>
      </c>
      <c r="M28" s="44">
        <f>SUM(M14:M27)</f>
        <v>17768.829368940333</v>
      </c>
      <c r="N28" s="62">
        <f>L28+M28</f>
        <v>120520.06936894025</v>
      </c>
      <c r="O28" s="57">
        <f>SUM(O14:O27)</f>
        <v>554878.95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0" t="s">
        <v>34</v>
      </c>
      <c r="B31" s="50"/>
      <c r="C31" s="50"/>
      <c r="D31" s="50"/>
      <c r="E31" s="50"/>
      <c r="F31" s="50">
        <f>SUM(F32:F40)</f>
        <v>3359.74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53">
        <v>8.15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931.79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152.47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15.25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246.4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2005.68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B12:B13"/>
    <mergeCell ref="O12:O13"/>
    <mergeCell ref="A1:L1"/>
    <mergeCell ref="A3:H3"/>
    <mergeCell ref="A4:D4"/>
    <mergeCell ref="A5:C5"/>
    <mergeCell ref="A6:D6"/>
    <mergeCell ref="A7:D7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</mergeCells>
  <printOptions/>
  <pageMargins left="0.21" right="0.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0"/>
  <sheetViews>
    <sheetView zoomScalePageLayoutView="0" workbookViewId="0" topLeftCell="A1">
      <selection activeCell="B2" sqref="B1:B16384"/>
    </sheetView>
  </sheetViews>
  <sheetFormatPr defaultColWidth="9.00390625" defaultRowHeight="12.75" outlineLevelRow="2" outlineLevelCol="1"/>
  <cols>
    <col min="1" max="1" width="17.25390625" style="0" customWidth="1"/>
    <col min="2" max="2" width="12.75390625" style="0" hidden="1" customWidth="1" outlineLevel="1"/>
    <col min="3" max="3" width="9.125" style="0" customWidth="1" collapsed="1"/>
    <col min="4" max="4" width="10.375" style="0" customWidth="1"/>
    <col min="6" max="6" width="10.125" style="0" bestFit="1" customWidth="1"/>
    <col min="9" max="9" width="10.125" style="0" bestFit="1" customWidth="1"/>
  </cols>
  <sheetData>
    <row r="1" spans="1:14" ht="15.75">
      <c r="A1" s="133" t="s">
        <v>29</v>
      </c>
      <c r="B1" s="13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"/>
      <c r="N1" s="1"/>
    </row>
    <row r="2" spans="1:14" ht="15.7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2.75">
      <c r="A3" s="134" t="s">
        <v>69</v>
      </c>
      <c r="B3" s="134"/>
      <c r="C3" s="135"/>
      <c r="D3" s="135"/>
      <c r="E3" s="135"/>
      <c r="F3" s="136"/>
      <c r="G3" s="136"/>
      <c r="H3" s="136"/>
      <c r="I3" s="3"/>
      <c r="J3" s="3"/>
      <c r="K3" s="3"/>
      <c r="L3" s="3"/>
      <c r="M3" s="3"/>
      <c r="N3" s="3"/>
      <c r="O3" s="4"/>
    </row>
    <row r="4" spans="1:14" ht="12.75" customHeight="1">
      <c r="A4" s="127" t="s">
        <v>0</v>
      </c>
      <c r="B4" s="127"/>
      <c r="C4" s="128"/>
      <c r="D4" s="129"/>
      <c r="F4" s="9">
        <v>16</v>
      </c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37" t="s">
        <v>20</v>
      </c>
      <c r="B5" s="137"/>
      <c r="C5" s="138"/>
      <c r="D5" s="6"/>
      <c r="F5" s="9">
        <v>2407</v>
      </c>
      <c r="G5" s="5"/>
      <c r="H5" s="5"/>
      <c r="I5" s="5"/>
      <c r="J5" s="5"/>
      <c r="K5" s="1"/>
      <c r="L5" s="1"/>
      <c r="M5" s="1"/>
      <c r="N5" s="1"/>
    </row>
    <row r="6" spans="1:14" ht="12.75" customHeight="1">
      <c r="A6" s="127" t="s">
        <v>21</v>
      </c>
      <c r="B6" s="127"/>
      <c r="C6" s="128"/>
      <c r="D6" s="128"/>
      <c r="F6" s="9">
        <v>532.2</v>
      </c>
      <c r="G6" s="5"/>
      <c r="I6" s="5"/>
      <c r="J6" s="5"/>
      <c r="K6" s="1"/>
      <c r="L6" s="1"/>
      <c r="M6" s="1"/>
      <c r="N6" s="1"/>
    </row>
    <row r="7" spans="1:14" ht="12.75">
      <c r="A7" s="127" t="s">
        <v>22</v>
      </c>
      <c r="B7" s="127"/>
      <c r="C7" s="128"/>
      <c r="D7" s="128"/>
      <c r="F7" s="9">
        <f>F6+F5</f>
        <v>2939.2</v>
      </c>
      <c r="G7" s="5"/>
      <c r="H7" s="5"/>
      <c r="I7" s="5"/>
      <c r="J7" s="5"/>
      <c r="K7" s="1"/>
      <c r="L7" s="1"/>
      <c r="M7" s="1"/>
      <c r="N7" s="1"/>
    </row>
    <row r="8" spans="1:14" ht="12.75" customHeight="1">
      <c r="A8" s="127" t="s">
        <v>1</v>
      </c>
      <c r="B8" s="127"/>
      <c r="C8" s="128"/>
      <c r="D8" s="128"/>
      <c r="E8" s="129"/>
      <c r="F8" s="9">
        <v>33</v>
      </c>
      <c r="G8" s="5"/>
      <c r="H8" s="5"/>
      <c r="I8" s="5"/>
      <c r="J8" s="5"/>
      <c r="K8" s="1"/>
      <c r="L8" s="1"/>
      <c r="M8" s="1"/>
      <c r="N8" s="1"/>
    </row>
    <row r="9" spans="1:14" ht="12.75" customHeight="1">
      <c r="A9" s="130" t="s">
        <v>23</v>
      </c>
      <c r="B9" s="130"/>
      <c r="C9" s="129"/>
      <c r="D9" s="129"/>
      <c r="E9" s="129"/>
      <c r="F9" s="9">
        <v>278.3</v>
      </c>
      <c r="G9" s="5"/>
      <c r="H9" s="5"/>
      <c r="I9" s="5"/>
      <c r="J9" s="5"/>
      <c r="K9" s="1"/>
      <c r="L9" s="1"/>
      <c r="M9" s="1"/>
      <c r="N9" s="1"/>
    </row>
    <row r="10" spans="1:14" ht="14.25">
      <c r="A10" s="131" t="s">
        <v>2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7"/>
      <c r="M10" s="132"/>
      <c r="N10" s="132"/>
    </row>
    <row r="11" spans="1:2" ht="12.75">
      <c r="A11" s="8"/>
      <c r="B11" s="8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1602.670000000002</v>
      </c>
      <c r="D17" s="25">
        <v>0</v>
      </c>
      <c r="E17" s="61">
        <f>SUM(C17:D17)</f>
        <v>1602.670000000002</v>
      </c>
      <c r="F17" s="40">
        <f>'[1]TDSheet'!$G$43</f>
        <v>13075.84</v>
      </c>
      <c r="G17" s="25"/>
      <c r="H17" s="63">
        <f aca="true" t="shared" si="3" ref="H17:H27">F17+G17</f>
        <v>13075.84</v>
      </c>
      <c r="I17" s="25">
        <f>'[2]TDSheet'!$K$31</f>
        <v>12807.98</v>
      </c>
      <c r="J17" s="26"/>
      <c r="K17" s="63">
        <f t="shared" si="0"/>
        <v>12807.98</v>
      </c>
      <c r="L17" s="25">
        <f t="shared" si="1"/>
        <v>1870.5300000000025</v>
      </c>
      <c r="M17" s="25">
        <f t="shared" si="1"/>
        <v>0</v>
      </c>
      <c r="N17" s="61">
        <f t="shared" si="2"/>
        <v>1870.5300000000025</v>
      </c>
      <c r="O17" s="56">
        <v>13564.88</v>
      </c>
    </row>
    <row r="18" spans="1:15" ht="24" customHeight="1" hidden="1" outlineLevel="1">
      <c r="A18" s="38" t="s">
        <v>13</v>
      </c>
      <c r="B18" s="67"/>
      <c r="C18" s="25">
        <v>0</v>
      </c>
      <c r="D18" s="25">
        <v>0</v>
      </c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24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36" collapsed="1">
      <c r="A20" s="38" t="s">
        <v>8</v>
      </c>
      <c r="B20" s="67"/>
      <c r="C20" s="25">
        <v>53524.90000000002</v>
      </c>
      <c r="D20" s="25">
        <v>2267.6900000000023</v>
      </c>
      <c r="E20" s="61">
        <f t="shared" si="4"/>
        <v>55792.590000000026</v>
      </c>
      <c r="F20" s="25">
        <f>'[1]TDSheet'!$H$43</f>
        <v>356139.72</v>
      </c>
      <c r="G20" s="25">
        <f>'[17]начисление НЖП'!$B$39+'[17]начисление НЖП'!$K$39</f>
        <v>89546.13531707894</v>
      </c>
      <c r="H20" s="63">
        <f t="shared" si="3"/>
        <v>445685.8553170789</v>
      </c>
      <c r="I20" s="25">
        <f>'[2]TDSheet'!$N$31</f>
        <v>360120.49</v>
      </c>
      <c r="J20" s="26">
        <f>'[17]начисление НЖП'!$C$39+'[17]начисление НЖП'!$L$39</f>
        <v>70491.55967652303</v>
      </c>
      <c r="K20" s="63">
        <f t="shared" si="0"/>
        <v>430612.049676523</v>
      </c>
      <c r="L20" s="25">
        <f t="shared" si="1"/>
        <v>49544.130000000005</v>
      </c>
      <c r="M20" s="25">
        <f t="shared" si="1"/>
        <v>21322.26564055591</v>
      </c>
      <c r="N20" s="61">
        <f t="shared" si="2"/>
        <v>70866.39564055591</v>
      </c>
      <c r="O20" s="56">
        <f>814699.22-O14-O15-O16-O17-O18-O19-O21-O22-O23-O24-O25-O26-O27</f>
        <v>742847.5399999999</v>
      </c>
    </row>
    <row r="21" spans="1:15" ht="12.75">
      <c r="A21" s="38" t="s">
        <v>10</v>
      </c>
      <c r="B21" s="67"/>
      <c r="C21" s="25">
        <v>0</v>
      </c>
      <c r="D21" s="25">
        <v>0</v>
      </c>
      <c r="E21" s="61">
        <f t="shared" si="4"/>
        <v>0</v>
      </c>
      <c r="F21" s="25"/>
      <c r="G21" s="25">
        <f>'[17]коммунНЖП'!$E$147</f>
        <v>60749.31</v>
      </c>
      <c r="H21" s="63">
        <f t="shared" si="3"/>
        <v>60749.31</v>
      </c>
      <c r="I21" s="25"/>
      <c r="J21" s="26">
        <f>'[17]коммунНЖП'!$F$147</f>
        <v>47213.2</v>
      </c>
      <c r="K21" s="63">
        <f t="shared" si="0"/>
        <v>47213.2</v>
      </c>
      <c r="L21" s="25">
        <f t="shared" si="1"/>
        <v>0</v>
      </c>
      <c r="M21" s="25">
        <f t="shared" si="1"/>
        <v>13536.11</v>
      </c>
      <c r="N21" s="61">
        <f t="shared" si="2"/>
        <v>13536.11</v>
      </c>
      <c r="O21" s="56">
        <v>57606.37</v>
      </c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721.0900000000001</v>
      </c>
      <c r="D24" s="25">
        <v>0</v>
      </c>
      <c r="E24" s="61">
        <f t="shared" si="4"/>
        <v>721.0900000000001</v>
      </c>
      <c r="F24" s="25">
        <f>'[1]TDSheet'!$L$43</f>
        <v>6065.76</v>
      </c>
      <c r="G24" s="25"/>
      <c r="H24" s="63">
        <f t="shared" si="3"/>
        <v>6065.76</v>
      </c>
      <c r="I24" s="25">
        <f>'[2]TDSheet'!$S$31</f>
        <v>5985.66</v>
      </c>
      <c r="J24" s="26"/>
      <c r="K24" s="63">
        <f t="shared" si="0"/>
        <v>5985.66</v>
      </c>
      <c r="L24" s="25">
        <f t="shared" si="1"/>
        <v>801.1900000000005</v>
      </c>
      <c r="M24" s="25">
        <f t="shared" si="1"/>
        <v>0</v>
      </c>
      <c r="N24" s="61">
        <f t="shared" si="2"/>
        <v>801.1900000000005</v>
      </c>
      <c r="O24" s="56">
        <v>680.43</v>
      </c>
    </row>
    <row r="25" spans="1:15" ht="12.75" outlineLevel="1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>
      <c r="A28" s="41" t="s">
        <v>12</v>
      </c>
      <c r="B28" s="68"/>
      <c r="C28" s="42">
        <f>SUM(C14:C27)</f>
        <v>55848.66000000002</v>
      </c>
      <c r="D28" s="42">
        <f>SUM(D14:D27)</f>
        <v>2267.6900000000023</v>
      </c>
      <c r="E28" s="62">
        <f>SUM(C28:D28)</f>
        <v>58116.35000000002</v>
      </c>
      <c r="F28" s="43">
        <f>SUM(F14:F27)</f>
        <v>375281.32</v>
      </c>
      <c r="G28" s="42">
        <f>SUM(G14:G27)</f>
        <v>150295.44531707893</v>
      </c>
      <c r="H28" s="64">
        <f>F28+G28</f>
        <v>525576.7653170789</v>
      </c>
      <c r="I28" s="43">
        <f>SUM(I14:I27)</f>
        <v>378914.12999999995</v>
      </c>
      <c r="J28" s="45">
        <f>SUM(J14:J27)</f>
        <v>117704.75967652303</v>
      </c>
      <c r="K28" s="64">
        <f>I28+J28</f>
        <v>496618.889676523</v>
      </c>
      <c r="L28" s="46">
        <f>SUM(L14:L27)</f>
        <v>52215.850000000006</v>
      </c>
      <c r="M28" s="44">
        <f>SUM(M14:M27)</f>
        <v>34858.37564055591</v>
      </c>
      <c r="N28" s="62">
        <f>L28+M28</f>
        <v>87074.22564055592</v>
      </c>
      <c r="O28" s="57">
        <f>SUM(O14:O27)</f>
        <v>814699.22</v>
      </c>
    </row>
    <row r="29" spans="8:11" ht="12.75">
      <c r="H29" s="20"/>
      <c r="K29" s="20"/>
    </row>
    <row r="30" spans="1:12" ht="12.75">
      <c r="A30" s="29" t="s">
        <v>45</v>
      </c>
      <c r="B30" s="30"/>
      <c r="C30" s="30"/>
      <c r="D30" s="30"/>
      <c r="E30" s="30"/>
      <c r="F30" s="30"/>
      <c r="L30" s="21"/>
    </row>
    <row r="31" spans="1:6" ht="12.75">
      <c r="A31" s="33" t="s">
        <v>34</v>
      </c>
      <c r="B31" s="32"/>
      <c r="C31" s="32"/>
      <c r="D31" s="32"/>
      <c r="E31" s="32"/>
      <c r="F31" s="31">
        <f>SUM(F32:F40)</f>
        <v>356264.55000000005</v>
      </c>
    </row>
    <row r="32" spans="1:6" ht="12.75">
      <c r="A32" s="24" t="s">
        <v>39</v>
      </c>
      <c r="F32" s="28">
        <v>139.94</v>
      </c>
    </row>
    <row r="33" spans="1:6" ht="12.75">
      <c r="A33" s="24" t="s">
        <v>35</v>
      </c>
      <c r="F33" s="28">
        <v>0</v>
      </c>
    </row>
    <row r="34" spans="1:6" ht="12.75">
      <c r="A34" s="24" t="s">
        <v>36</v>
      </c>
      <c r="F34" s="28">
        <v>0</v>
      </c>
    </row>
    <row r="35" spans="1:6" ht="12.75">
      <c r="A35" s="24" t="s">
        <v>43</v>
      </c>
      <c r="F35" s="28">
        <v>354675.13</v>
      </c>
    </row>
    <row r="36" spans="1:6" ht="12.75">
      <c r="A36" s="24" t="s">
        <v>37</v>
      </c>
      <c r="F36" s="28">
        <v>1446.27</v>
      </c>
    </row>
    <row r="37" spans="1:6" ht="12.75">
      <c r="A37" s="24" t="s">
        <v>42</v>
      </c>
      <c r="F37" s="28">
        <v>3.21</v>
      </c>
    </row>
    <row r="38" spans="1:6" ht="12.75">
      <c r="A38" s="24" t="s">
        <v>38</v>
      </c>
      <c r="F38" s="28">
        <v>0</v>
      </c>
    </row>
    <row r="39" spans="1:6" ht="12.75">
      <c r="A39" s="24" t="s">
        <v>40</v>
      </c>
      <c r="F39" s="28">
        <v>0</v>
      </c>
    </row>
    <row r="40" spans="1:6" ht="12.75">
      <c r="A40" s="24" t="s">
        <v>41</v>
      </c>
      <c r="F40" s="28">
        <v>0</v>
      </c>
    </row>
    <row r="41" ht="12.75" hidden="1" outlineLevel="2"/>
    <row r="42" ht="12.75" hidden="1" outlineLevel="2"/>
    <row r="43" ht="12.75" hidden="1" outlineLevel="2"/>
    <row r="44" ht="12.75" hidden="1" outlineLevel="2"/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5">
      <selection activeCell="R13" sqref="R13"/>
    </sheetView>
  </sheetViews>
  <sheetFormatPr defaultColWidth="9.00390625" defaultRowHeight="12.75" outlineLevelRow="1" outlineLevelCol="1"/>
  <cols>
    <col min="1" max="1" width="17.25390625" style="0" customWidth="1"/>
    <col min="2" max="2" width="13.00390625" style="0" hidden="1" customWidth="1" outlineLevel="1"/>
    <col min="3" max="3" width="9.125" style="0" customWidth="1" collapsed="1"/>
    <col min="4" max="4" width="10.375" style="0" customWidth="1"/>
    <col min="6" max="6" width="10.125" style="0" bestFit="1" customWidth="1"/>
    <col min="9" max="9" width="10.125" style="0" bestFit="1" customWidth="1"/>
    <col min="12" max="12" width="9.75390625" style="0" bestFit="1" customWidth="1"/>
    <col min="15" max="15" width="11.875" style="0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68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7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1556.6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1556.6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/>
      <c r="B9" s="100"/>
      <c r="C9" s="99"/>
      <c r="D9" s="99"/>
      <c r="E9" s="99"/>
      <c r="F9" s="16"/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340.57000000000016</v>
      </c>
      <c r="D17" s="25">
        <v>0</v>
      </c>
      <c r="E17" s="61">
        <f>SUM(C17:D17)</f>
        <v>340.57000000000016</v>
      </c>
      <c r="F17" s="40">
        <f>'[1]TDSheet'!$G$44+'[3]TDSheet'!$G$40</f>
        <v>1638.8600000000001</v>
      </c>
      <c r="G17" s="25"/>
      <c r="H17" s="63">
        <f aca="true" t="shared" si="3" ref="H17:H27">F17+G17</f>
        <v>1638.8600000000001</v>
      </c>
      <c r="I17" s="25">
        <f>'[2]TDSheet'!$K$39</f>
        <v>1496.63</v>
      </c>
      <c r="J17" s="26"/>
      <c r="K17" s="63">
        <f t="shared" si="0"/>
        <v>1496.63</v>
      </c>
      <c r="L17" s="25">
        <f t="shared" si="1"/>
        <v>482.8000000000002</v>
      </c>
      <c r="M17" s="25">
        <f t="shared" si="1"/>
        <v>0</v>
      </c>
      <c r="N17" s="61">
        <f t="shared" si="2"/>
        <v>482.8000000000002</v>
      </c>
      <c r="O17" s="56">
        <v>1632.62</v>
      </c>
    </row>
    <row r="18" spans="1:15" ht="24" customHeight="1" hidden="1" outlineLevel="1">
      <c r="A18" s="38" t="s">
        <v>13</v>
      </c>
      <c r="B18" s="67"/>
      <c r="C18" s="25">
        <v>0</v>
      </c>
      <c r="D18" s="25">
        <v>0</v>
      </c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24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36" collapsed="1">
      <c r="A20" s="38" t="s">
        <v>8</v>
      </c>
      <c r="B20" s="67"/>
      <c r="C20" s="25">
        <v>51123.69</v>
      </c>
      <c r="D20" s="25">
        <v>-55.59</v>
      </c>
      <c r="E20" s="61">
        <f t="shared" si="4"/>
        <v>51068.100000000006</v>
      </c>
      <c r="F20" s="25">
        <f>'[1]TDSheet'!$H$44+'[6]TDSheet'!$G$44</f>
        <v>223724.07</v>
      </c>
      <c r="G20" s="25">
        <f>'[17]начисление НЖП'!$K$40</f>
        <v>3454.545833752412</v>
      </c>
      <c r="H20" s="63">
        <f t="shared" si="3"/>
        <v>227178.6158337524</v>
      </c>
      <c r="I20" s="25">
        <f>'[2]TDSheet'!$N$39</f>
        <v>189897.69</v>
      </c>
      <c r="J20" s="26">
        <f>'[17]начисление НЖП'!$L$40</f>
        <v>3099.806247440038</v>
      </c>
      <c r="K20" s="63">
        <f t="shared" si="0"/>
        <v>192997.49624744005</v>
      </c>
      <c r="L20" s="25">
        <f t="shared" si="1"/>
        <v>84950.07</v>
      </c>
      <c r="M20" s="25">
        <f t="shared" si="1"/>
        <v>299.1495863123737</v>
      </c>
      <c r="N20" s="61">
        <f t="shared" si="2"/>
        <v>85249.21958631238</v>
      </c>
      <c r="O20" s="56">
        <f>241776.25-O14-O15-O16-O17-O18-O19-O21-O22-O23-O24-O25-O26-O27</f>
        <v>239463.2</v>
      </c>
    </row>
    <row r="21" spans="1:15" ht="12.75" customHeight="1" hidden="1" outlineLevel="1">
      <c r="A21" s="38" t="s">
        <v>10</v>
      </c>
      <c r="B21" s="67"/>
      <c r="C21" s="25">
        <v>0</v>
      </c>
      <c r="D21" s="25">
        <v>0</v>
      </c>
      <c r="E21" s="61">
        <f t="shared" si="4"/>
        <v>0</v>
      </c>
      <c r="F21" s="25"/>
      <c r="G21" s="25"/>
      <c r="H21" s="63">
        <f t="shared" si="3"/>
        <v>0</v>
      </c>
      <c r="I21" s="25"/>
      <c r="J21" s="26"/>
      <c r="K21" s="63">
        <f t="shared" si="0"/>
        <v>0</v>
      </c>
      <c r="L21" s="25">
        <f t="shared" si="1"/>
        <v>0</v>
      </c>
      <c r="M21" s="25">
        <f t="shared" si="1"/>
        <v>0</v>
      </c>
      <c r="N21" s="61">
        <f t="shared" si="2"/>
        <v>0</v>
      </c>
      <c r="O21" s="56"/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361.1400000000001</v>
      </c>
      <c r="D24" s="25">
        <v>0</v>
      </c>
      <c r="E24" s="61">
        <f t="shared" si="4"/>
        <v>361.1400000000001</v>
      </c>
      <c r="F24" s="25">
        <f>'[1]TDSheet'!$L$44+'[7]TDSheet'!$G$42</f>
        <v>3892.3199999999997</v>
      </c>
      <c r="G24" s="25"/>
      <c r="H24" s="63">
        <f t="shared" si="3"/>
        <v>3892.3199999999997</v>
      </c>
      <c r="I24" s="25">
        <f>'[2]TDSheet'!$S$39</f>
        <v>3176.67</v>
      </c>
      <c r="J24" s="26"/>
      <c r="K24" s="63">
        <f t="shared" si="0"/>
        <v>3176.67</v>
      </c>
      <c r="L24" s="25">
        <f t="shared" si="1"/>
        <v>1076.79</v>
      </c>
      <c r="M24" s="25">
        <f t="shared" si="1"/>
        <v>0</v>
      </c>
      <c r="N24" s="61">
        <f t="shared" si="2"/>
        <v>1076.79</v>
      </c>
      <c r="O24" s="56">
        <v>680.43</v>
      </c>
    </row>
    <row r="25" spans="1:15" ht="12.75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51825.4</v>
      </c>
      <c r="D28" s="42">
        <f>SUM(D14:D27)</f>
        <v>-55.59</v>
      </c>
      <c r="E28" s="62">
        <f>SUM(C28:D28)</f>
        <v>51769.810000000005</v>
      </c>
      <c r="F28" s="43">
        <f>SUM(F14:F27)</f>
        <v>229255.25</v>
      </c>
      <c r="G28" s="42">
        <f>SUM(G14:G27)</f>
        <v>3454.545833752412</v>
      </c>
      <c r="H28" s="64">
        <f>F28+G28</f>
        <v>232709.7958337524</v>
      </c>
      <c r="I28" s="43">
        <f>SUM(I14:I27)</f>
        <v>194570.99000000002</v>
      </c>
      <c r="J28" s="45">
        <f>SUM(J14:J27)</f>
        <v>3099.806247440038</v>
      </c>
      <c r="K28" s="64">
        <f>I28+J28</f>
        <v>197670.79624744007</v>
      </c>
      <c r="L28" s="46">
        <f>SUM(L14:L27)</f>
        <v>86509.66</v>
      </c>
      <c r="M28" s="44">
        <f>SUM(M14:M27)</f>
        <v>299.1495863123737</v>
      </c>
      <c r="N28" s="62">
        <f>L28+M28</f>
        <v>86808.80958631237</v>
      </c>
      <c r="O28" s="57">
        <f>SUM(O14:O27)</f>
        <v>241776.25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29356.59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19.67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12100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1739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592.19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1.73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14594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310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24" right="0.2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">
      <selection activeCell="B11" sqref="B1:B16384"/>
    </sheetView>
  </sheetViews>
  <sheetFormatPr defaultColWidth="9.00390625" defaultRowHeight="12.75" outlineLevelRow="2" outlineLevelCol="1"/>
  <cols>
    <col min="1" max="1" width="22.625" style="0" customWidth="1"/>
    <col min="2" max="2" width="13.00390625" style="0" hidden="1" customWidth="1" outlineLevel="1"/>
    <col min="3" max="3" width="9.125" style="0" customWidth="1" collapsed="1"/>
  </cols>
  <sheetData>
    <row r="1" spans="1:15" ht="13.5" customHeight="1">
      <c r="A1" s="109" t="s">
        <v>24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s="12" customFormat="1" ht="12.75">
      <c r="A3" s="114" t="s">
        <v>67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4" s="12" customFormat="1" ht="12.75" customHeight="1">
      <c r="A4" s="97" t="s">
        <v>0</v>
      </c>
      <c r="B4" s="97"/>
      <c r="C4" s="98"/>
      <c r="D4" s="99"/>
      <c r="F4" s="16">
        <v>0</v>
      </c>
      <c r="G4" s="11"/>
      <c r="H4" s="11"/>
      <c r="I4" s="11"/>
      <c r="J4" s="11"/>
      <c r="K4" s="11"/>
      <c r="L4" s="11"/>
      <c r="M4" s="11"/>
      <c r="N4" s="11"/>
    </row>
    <row r="5" spans="1:14" s="12" customFormat="1" ht="12.75" customHeight="1">
      <c r="A5" s="113" t="s">
        <v>20</v>
      </c>
      <c r="B5" s="113"/>
      <c r="C5" s="99"/>
      <c r="D5" s="11"/>
      <c r="F5" s="16">
        <v>0</v>
      </c>
      <c r="G5" s="15"/>
      <c r="H5" s="15"/>
      <c r="I5" s="15"/>
      <c r="J5" s="15"/>
      <c r="K5" s="11"/>
      <c r="L5" s="11"/>
      <c r="M5" s="11"/>
      <c r="N5" s="11"/>
    </row>
    <row r="6" spans="1:14" s="12" customFormat="1" ht="12.75" customHeight="1">
      <c r="A6" s="97" t="s">
        <v>21</v>
      </c>
      <c r="B6" s="97"/>
      <c r="C6" s="98"/>
      <c r="D6" s="98"/>
      <c r="F6" s="16">
        <v>1633.3</v>
      </c>
      <c r="G6" s="15"/>
      <c r="I6" s="15"/>
      <c r="J6" s="15"/>
      <c r="K6" s="11"/>
      <c r="L6" s="11"/>
      <c r="M6" s="11"/>
      <c r="N6" s="11"/>
    </row>
    <row r="7" spans="1:14" s="12" customFormat="1" ht="12.75">
      <c r="A7" s="97" t="s">
        <v>22</v>
      </c>
      <c r="B7" s="97"/>
      <c r="C7" s="98"/>
      <c r="D7" s="98"/>
      <c r="F7" s="16">
        <f>F6+F5</f>
        <v>1633.3</v>
      </c>
      <c r="G7" s="15"/>
      <c r="H7" s="15"/>
      <c r="I7" s="15"/>
      <c r="J7" s="15"/>
      <c r="K7" s="11"/>
      <c r="L7" s="11"/>
      <c r="M7" s="11"/>
      <c r="N7" s="11"/>
    </row>
    <row r="8" spans="1:14" s="12" customFormat="1" ht="12.75" customHeight="1">
      <c r="A8" s="97" t="s">
        <v>1</v>
      </c>
      <c r="B8" s="97"/>
      <c r="C8" s="98"/>
      <c r="D8" s="98"/>
      <c r="E8" s="99"/>
      <c r="F8" s="16">
        <v>0</v>
      </c>
      <c r="G8" s="15"/>
      <c r="H8" s="15"/>
      <c r="I8" s="15"/>
      <c r="J8" s="15"/>
      <c r="K8" s="11"/>
      <c r="L8" s="11"/>
      <c r="M8" s="11"/>
      <c r="N8" s="11"/>
    </row>
    <row r="9" spans="1:14" s="12" customFormat="1" ht="12.75" customHeight="1">
      <c r="A9" s="100" t="s">
        <v>23</v>
      </c>
      <c r="B9" s="100"/>
      <c r="C9" s="99"/>
      <c r="D9" s="99"/>
      <c r="E9" s="99"/>
      <c r="F9" s="16">
        <v>0</v>
      </c>
      <c r="G9" s="15"/>
      <c r="H9" s="15"/>
      <c r="I9" s="15"/>
      <c r="J9" s="15"/>
      <c r="K9" s="11"/>
      <c r="L9" s="11"/>
      <c r="M9" s="11"/>
      <c r="N9" s="11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5" customHeight="1" hidden="1" outlineLevel="1">
      <c r="A14" s="38" t="s">
        <v>14</v>
      </c>
      <c r="B14" s="67"/>
      <c r="C14" s="25"/>
      <c r="D14" s="25"/>
      <c r="E14" s="61">
        <f>SUM(C14:D14)</f>
        <v>0</v>
      </c>
      <c r="F14" s="25"/>
      <c r="G14" s="25"/>
      <c r="H14" s="63">
        <f>F14+G14</f>
        <v>0</v>
      </c>
      <c r="I14" s="25"/>
      <c r="J14" s="26"/>
      <c r="K14" s="63">
        <f>I14+J14</f>
        <v>0</v>
      </c>
      <c r="L14" s="25">
        <f>C14+F14-I14</f>
        <v>0</v>
      </c>
      <c r="M14" s="25">
        <f>D14+G14-J14</f>
        <v>0</v>
      </c>
      <c r="N14" s="61">
        <f>L14+M14</f>
        <v>0</v>
      </c>
      <c r="O14" s="58"/>
    </row>
    <row r="15" spans="1:15" ht="12.75" customHeight="1" hidden="1" outlineLevel="1">
      <c r="A15" s="38" t="s">
        <v>26</v>
      </c>
      <c r="B15" s="67"/>
      <c r="C15" s="25"/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 collapsed="1">
      <c r="A16" s="39" t="s">
        <v>9</v>
      </c>
      <c r="B16" s="67"/>
      <c r="C16" s="25"/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ustomHeight="1" hidden="1" outlineLevel="1">
      <c r="A17" s="39" t="s">
        <v>16</v>
      </c>
      <c r="B17" s="67"/>
      <c r="C17" s="25"/>
      <c r="D17" s="25"/>
      <c r="E17" s="61">
        <f>SUM(C17:D17)</f>
        <v>0</v>
      </c>
      <c r="F17" s="40"/>
      <c r="G17" s="25"/>
      <c r="H17" s="63">
        <f aca="true" t="shared" si="3" ref="H17:H27">F17+G17</f>
        <v>0</v>
      </c>
      <c r="I17" s="25"/>
      <c r="J17" s="26"/>
      <c r="K17" s="63">
        <f t="shared" si="0"/>
        <v>0</v>
      </c>
      <c r="L17" s="25">
        <f t="shared" si="1"/>
        <v>0</v>
      </c>
      <c r="M17" s="25">
        <f t="shared" si="1"/>
        <v>0</v>
      </c>
      <c r="N17" s="61">
        <f t="shared" si="2"/>
        <v>0</v>
      </c>
      <c r="O17" s="56"/>
    </row>
    <row r="18" spans="1:15" ht="24" customHeight="1" hidden="1" outlineLevel="1">
      <c r="A18" s="38" t="s">
        <v>13</v>
      </c>
      <c r="B18" s="67"/>
      <c r="C18" s="25"/>
      <c r="D18" s="25"/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24" customHeight="1" hidden="1" outlineLevel="1">
      <c r="A19" s="38" t="s">
        <v>15</v>
      </c>
      <c r="B19" s="67"/>
      <c r="C19" s="25"/>
      <c r="D19" s="25"/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24" collapsed="1">
      <c r="A20" s="38" t="s">
        <v>8</v>
      </c>
      <c r="B20" s="67"/>
      <c r="C20" s="25"/>
      <c r="D20" s="25">
        <v>335673.57</v>
      </c>
      <c r="E20" s="61">
        <f t="shared" si="4"/>
        <v>335673.57</v>
      </c>
      <c r="F20" s="25"/>
      <c r="G20" s="25">
        <f>'[17]начисление НЖП'!$B$41+'[17]начисление НЖП'!$K$41</f>
        <v>542613.7653284516</v>
      </c>
      <c r="H20" s="63">
        <f t="shared" si="3"/>
        <v>542613.7653284516</v>
      </c>
      <c r="I20" s="25"/>
      <c r="J20" s="26">
        <f>'[17]начисление НЖП'!$C$41+'[17]начисление НЖП'!$L$41</f>
        <v>3252.5462828882273</v>
      </c>
      <c r="K20" s="63">
        <f t="shared" si="0"/>
        <v>3252.5462828882273</v>
      </c>
      <c r="L20" s="25">
        <f t="shared" si="1"/>
        <v>0</v>
      </c>
      <c r="M20" s="25">
        <f t="shared" si="1"/>
        <v>875034.7890455633</v>
      </c>
      <c r="N20" s="61">
        <f t="shared" si="2"/>
        <v>875034.7890455633</v>
      </c>
      <c r="O20" s="56">
        <v>132605.59</v>
      </c>
    </row>
    <row r="21" spans="1:15" ht="12.75">
      <c r="A21" s="38" t="s">
        <v>10</v>
      </c>
      <c r="B21" s="67"/>
      <c r="C21" s="25"/>
      <c r="D21" s="25"/>
      <c r="E21" s="61">
        <f t="shared" si="4"/>
        <v>0</v>
      </c>
      <c r="F21" s="25"/>
      <c r="G21" s="25"/>
      <c r="H21" s="63">
        <f t="shared" si="3"/>
        <v>0</v>
      </c>
      <c r="I21" s="25"/>
      <c r="J21" s="26"/>
      <c r="K21" s="63">
        <f t="shared" si="0"/>
        <v>0</v>
      </c>
      <c r="L21" s="25">
        <f t="shared" si="1"/>
        <v>0</v>
      </c>
      <c r="M21" s="25">
        <f t="shared" si="1"/>
        <v>0</v>
      </c>
      <c r="N21" s="61">
        <f t="shared" si="2"/>
        <v>0</v>
      </c>
      <c r="O21" s="56"/>
    </row>
    <row r="22" spans="1:15" ht="24" customHeight="1" hidden="1" outlineLevel="1">
      <c r="A22" s="38" t="s">
        <v>19</v>
      </c>
      <c r="B22" s="67"/>
      <c r="C22" s="25"/>
      <c r="D22" s="25"/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/>
      <c r="D23" s="25"/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ustomHeight="1" hidden="1" outlineLevel="1">
      <c r="A24" s="38" t="s">
        <v>25</v>
      </c>
      <c r="B24" s="67"/>
      <c r="C24" s="25"/>
      <c r="D24" s="25"/>
      <c r="E24" s="61">
        <f t="shared" si="4"/>
        <v>0</v>
      </c>
      <c r="F24" s="25"/>
      <c r="G24" s="25"/>
      <c r="H24" s="63">
        <f t="shared" si="3"/>
        <v>0</v>
      </c>
      <c r="I24" s="25"/>
      <c r="J24" s="26"/>
      <c r="K24" s="63">
        <f t="shared" si="0"/>
        <v>0</v>
      </c>
      <c r="L24" s="25">
        <f t="shared" si="1"/>
        <v>0</v>
      </c>
      <c r="M24" s="25">
        <f t="shared" si="1"/>
        <v>0</v>
      </c>
      <c r="N24" s="61">
        <f t="shared" si="2"/>
        <v>0</v>
      </c>
      <c r="O24" s="56"/>
    </row>
    <row r="25" spans="1:15" ht="12.75" customHeight="1" hidden="1" outlineLevel="1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ollapsed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>
      <c r="A28" s="41" t="s">
        <v>12</v>
      </c>
      <c r="B28" s="68"/>
      <c r="C28" s="42">
        <f>SUM(C14:C27)</f>
        <v>0</v>
      </c>
      <c r="D28" s="42">
        <f>SUM(D14:D27)</f>
        <v>335673.57</v>
      </c>
      <c r="E28" s="62">
        <f>SUM(C28:D28)</f>
        <v>335673.57</v>
      </c>
      <c r="F28" s="43">
        <f>SUM(F14:F27)</f>
        <v>0</v>
      </c>
      <c r="G28" s="42">
        <f>SUM(G14:G27)</f>
        <v>542613.7653284516</v>
      </c>
      <c r="H28" s="64">
        <f>F28+G28</f>
        <v>542613.7653284516</v>
      </c>
      <c r="I28" s="43">
        <f>SUM(I14:I27)</f>
        <v>0</v>
      </c>
      <c r="J28" s="45">
        <f>SUM(J14:J27)</f>
        <v>3252.5462828882273</v>
      </c>
      <c r="K28" s="64">
        <f>I28+J28</f>
        <v>3252.5462828882273</v>
      </c>
      <c r="L28" s="46">
        <f>SUM(L14:L27)</f>
        <v>0</v>
      </c>
      <c r="M28" s="44">
        <f>SUM(M14:M27)</f>
        <v>875034.7890455633</v>
      </c>
      <c r="N28" s="62">
        <f>L28+M28</f>
        <v>875034.7890455633</v>
      </c>
      <c r="O28" s="57">
        <f>SUM(O14:O27)</f>
        <v>132605.59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27"/>
      <c r="K29" s="12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59.23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0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59.23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5">
      <selection activeCell="R12" sqref="R12"/>
    </sheetView>
  </sheetViews>
  <sheetFormatPr defaultColWidth="9.00390625" defaultRowHeight="12.75" outlineLevelRow="2" outlineLevelCol="1"/>
  <cols>
    <col min="1" max="1" width="18.375" style="0" customWidth="1"/>
    <col min="2" max="2" width="11.37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1" max="11" width="10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66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165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10012.1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1045.4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11057.5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213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1172.2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12532.590000000004</v>
      </c>
      <c r="D17" s="25">
        <v>0</v>
      </c>
      <c r="E17" s="61">
        <f>SUM(C17:D17)</f>
        <v>12532.590000000004</v>
      </c>
      <c r="F17" s="40">
        <f>'[1]TDSheet'!$G$13+'[3]TDSheet'!$G$10</f>
        <v>64029.96</v>
      </c>
      <c r="G17" s="25"/>
      <c r="H17" s="63">
        <f aca="true" t="shared" si="3" ref="H17:H27">F17+G17</f>
        <v>64029.96</v>
      </c>
      <c r="I17" s="25">
        <f>'[2]TDSheet'!$K$9</f>
        <v>64142.38</v>
      </c>
      <c r="J17" s="26"/>
      <c r="K17" s="63">
        <f t="shared" si="0"/>
        <v>64142.38</v>
      </c>
      <c r="L17" s="25">
        <f t="shared" si="1"/>
        <v>12420.170000000006</v>
      </c>
      <c r="M17" s="25">
        <f t="shared" si="1"/>
        <v>0</v>
      </c>
      <c r="N17" s="61">
        <f t="shared" si="2"/>
        <v>12420.170000000006</v>
      </c>
      <c r="O17" s="56">
        <v>63901.61</v>
      </c>
    </row>
    <row r="18" spans="1:15" ht="24">
      <c r="A18" s="38" t="s">
        <v>13</v>
      </c>
      <c r="B18" s="67"/>
      <c r="C18" s="25">
        <v>84314.20000000001</v>
      </c>
      <c r="D18" s="25">
        <v>0</v>
      </c>
      <c r="E18" s="61">
        <f aca="true" t="shared" si="4" ref="E18:E27">SUM(C18:D18)</f>
        <v>84314.20000000001</v>
      </c>
      <c r="F18" s="25">
        <f>'[1]TDSheet'!$J$13+'[4]TDSheet'!$G$12</f>
        <v>447848.3</v>
      </c>
      <c r="G18" s="25"/>
      <c r="H18" s="63">
        <f t="shared" si="3"/>
        <v>447848.3</v>
      </c>
      <c r="I18" s="25">
        <f>'[2]TDSheet'!$P$9</f>
        <v>453781.31</v>
      </c>
      <c r="J18" s="26"/>
      <c r="K18" s="63">
        <f t="shared" si="0"/>
        <v>453781.31</v>
      </c>
      <c r="L18" s="25">
        <f t="shared" si="1"/>
        <v>78381.19</v>
      </c>
      <c r="M18" s="25">
        <f t="shared" si="1"/>
        <v>0</v>
      </c>
      <c r="N18" s="61">
        <f t="shared" si="2"/>
        <v>78381.19</v>
      </c>
      <c r="O18" s="56">
        <v>371494.38</v>
      </c>
    </row>
    <row r="19" spans="1:15" ht="24" outlineLevel="1">
      <c r="A19" s="38" t="s">
        <v>15</v>
      </c>
      <c r="B19" s="67"/>
      <c r="C19" s="25">
        <v>11730.04</v>
      </c>
      <c r="D19" s="25">
        <v>0</v>
      </c>
      <c r="E19" s="61">
        <f t="shared" si="4"/>
        <v>11730.04</v>
      </c>
      <c r="F19" s="25">
        <f>'[1]TDSheet'!$E$13+'[5]TDSheet'!$G$11</f>
        <v>58834.13</v>
      </c>
      <c r="G19" s="25"/>
      <c r="H19" s="63">
        <f t="shared" si="3"/>
        <v>58834.13</v>
      </c>
      <c r="I19" s="25">
        <f>'[2]TDSheet'!$C$9</f>
        <v>59890.02</v>
      </c>
      <c r="J19" s="26"/>
      <c r="K19" s="63">
        <f t="shared" si="0"/>
        <v>59890.02</v>
      </c>
      <c r="L19" s="25">
        <f t="shared" si="1"/>
        <v>10674.150000000001</v>
      </c>
      <c r="M19" s="25">
        <f t="shared" si="1"/>
        <v>0</v>
      </c>
      <c r="N19" s="61">
        <f t="shared" si="2"/>
        <v>10674.150000000001</v>
      </c>
      <c r="O19" s="56">
        <v>106617.71</v>
      </c>
    </row>
    <row r="20" spans="1:15" ht="36">
      <c r="A20" s="38" t="s">
        <v>8</v>
      </c>
      <c r="B20" s="67"/>
      <c r="C20" s="25">
        <v>397698.72</v>
      </c>
      <c r="D20" s="25">
        <v>23004.26999999999</v>
      </c>
      <c r="E20" s="61">
        <f t="shared" si="4"/>
        <v>420702.99</v>
      </c>
      <c r="F20" s="25">
        <f>'[1]TDSheet'!$H$13+'[6]TDSheet'!$G$13</f>
        <v>1480375.2000000002</v>
      </c>
      <c r="G20" s="25">
        <f>'[17]начисление НЖП'!$B$9+'[17]начисление НЖП'!$K$9</f>
        <v>187622.19221169042</v>
      </c>
      <c r="H20" s="63">
        <f t="shared" si="3"/>
        <v>1667997.3922116905</v>
      </c>
      <c r="I20" s="25">
        <f>'[2]TDSheet'!$T$9+'[2]TDSheet'!$N$9+'[2]TDSheet'!$E$9+'[2]TDSheet'!$D$9+'[2]TDSheet'!$L$9</f>
        <v>1572051.06</v>
      </c>
      <c r="J20" s="26">
        <f>'[17]начисление НЖП'!$C$9+'[17]начисление НЖП'!$L$9</f>
        <v>186212.45582748827</v>
      </c>
      <c r="K20" s="63">
        <f t="shared" si="0"/>
        <v>1758263.5158274884</v>
      </c>
      <c r="L20" s="25">
        <f t="shared" si="1"/>
        <v>306022.8600000001</v>
      </c>
      <c r="M20" s="25">
        <f t="shared" si="1"/>
        <v>24414.006384202134</v>
      </c>
      <c r="N20" s="61">
        <f t="shared" si="2"/>
        <v>330436.86638420227</v>
      </c>
      <c r="O20" s="56">
        <f>1991086.67-O14-O15-O16-O17-O18-O19-O21-O22-O23-O24-O25-O26-O27</f>
        <v>1166029.3199999998</v>
      </c>
    </row>
    <row r="21" spans="1:15" ht="12.75">
      <c r="A21" s="38" t="s">
        <v>10</v>
      </c>
      <c r="B21" s="67"/>
      <c r="C21" s="25">
        <v>2268.51</v>
      </c>
      <c r="D21" s="25">
        <v>42355.26999999999</v>
      </c>
      <c r="E21" s="61">
        <f t="shared" si="4"/>
        <v>44623.77999999999</v>
      </c>
      <c r="F21" s="25"/>
      <c r="G21" s="25">
        <f>'[17]коммунНЖП'!$E$9</f>
        <v>279406.62</v>
      </c>
      <c r="H21" s="63">
        <f t="shared" si="3"/>
        <v>279406.62</v>
      </c>
      <c r="I21" s="25">
        <f>'[2]TDSheet'!$Q$9</f>
        <v>2268.51</v>
      </c>
      <c r="J21" s="26">
        <f>'[17]коммунНЖП'!$F$9</f>
        <v>263833.35</v>
      </c>
      <c r="K21" s="63">
        <f t="shared" si="0"/>
        <v>266101.86</v>
      </c>
      <c r="L21" s="25">
        <f t="shared" si="1"/>
        <v>0</v>
      </c>
      <c r="M21" s="25">
        <f t="shared" si="1"/>
        <v>57928.54000000004</v>
      </c>
      <c r="N21" s="61">
        <f t="shared" si="2"/>
        <v>57928.54000000004</v>
      </c>
      <c r="O21" s="56">
        <v>283043.65</v>
      </c>
    </row>
    <row r="22" spans="1:15" ht="36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3239.58</v>
      </c>
      <c r="D24" s="25">
        <v>0</v>
      </c>
      <c r="E24" s="61">
        <f t="shared" si="4"/>
        <v>3239.58</v>
      </c>
      <c r="F24" s="25">
        <f>'[1]TDSheet'!$L$13+'[7]TDSheet'!$G$13</f>
        <v>25213.28</v>
      </c>
      <c r="G24" s="25"/>
      <c r="H24" s="63">
        <f t="shared" si="3"/>
        <v>25213.28</v>
      </c>
      <c r="I24" s="25">
        <f>'[2]TDSheet'!$S$9</f>
        <v>25451.19</v>
      </c>
      <c r="J24" s="26"/>
      <c r="K24" s="63">
        <f t="shared" si="0"/>
        <v>25451.19</v>
      </c>
      <c r="L24" s="25">
        <f t="shared" si="1"/>
        <v>3001.670000000002</v>
      </c>
      <c r="M24" s="25">
        <f t="shared" si="1"/>
        <v>0</v>
      </c>
      <c r="N24" s="61">
        <f t="shared" si="2"/>
        <v>3001.670000000002</v>
      </c>
      <c r="O24" s="56"/>
    </row>
    <row r="25" spans="1:15" ht="12.75">
      <c r="A25" s="38" t="s">
        <v>18</v>
      </c>
      <c r="B25" s="67"/>
      <c r="C25" s="25">
        <v>3000</v>
      </c>
      <c r="D25" s="25">
        <v>0</v>
      </c>
      <c r="E25" s="61">
        <f t="shared" si="4"/>
        <v>3000</v>
      </c>
      <c r="F25" s="25"/>
      <c r="G25" s="25"/>
      <c r="H25" s="63">
        <f t="shared" si="3"/>
        <v>0</v>
      </c>
      <c r="I25" s="25">
        <f>'[2]TDSheet'!$I$9</f>
        <v>1500</v>
      </c>
      <c r="J25" s="26"/>
      <c r="K25" s="63">
        <f t="shared" si="0"/>
        <v>1500</v>
      </c>
      <c r="L25" s="25">
        <f t="shared" si="1"/>
        <v>1500</v>
      </c>
      <c r="M25" s="25">
        <f t="shared" si="1"/>
        <v>0</v>
      </c>
      <c r="N25" s="61">
        <f t="shared" si="2"/>
        <v>1500</v>
      </c>
      <c r="O25" s="56">
        <v>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514783.64</v>
      </c>
      <c r="D28" s="42">
        <f>SUM(D14:D27)</f>
        <v>65359.53999999998</v>
      </c>
      <c r="E28" s="62">
        <f>SUM(C28:D28)</f>
        <v>580143.1799999999</v>
      </c>
      <c r="F28" s="43">
        <f>SUM(F14:F27)</f>
        <v>2076300.8700000003</v>
      </c>
      <c r="G28" s="42">
        <f>SUM(G14:G27)</f>
        <v>467028.8122116904</v>
      </c>
      <c r="H28" s="64">
        <f>F28+G28</f>
        <v>2543329.6822116906</v>
      </c>
      <c r="I28" s="43">
        <f>SUM(I14:I27)</f>
        <v>2179084.4699999997</v>
      </c>
      <c r="J28" s="45">
        <f>SUM(J14:J27)</f>
        <v>450045.80582748825</v>
      </c>
      <c r="K28" s="64">
        <f>I28+J28</f>
        <v>2629130.275827488</v>
      </c>
      <c r="L28" s="46">
        <f>SUM(L14:L27)</f>
        <v>412000.0400000001</v>
      </c>
      <c r="M28" s="44">
        <f>SUM(M14:M27)</f>
        <v>82342.54638420217</v>
      </c>
      <c r="N28" s="62">
        <f>L28+M28</f>
        <v>494342.58638420224</v>
      </c>
      <c r="O28" s="57">
        <f>SUM(O14:O27)</f>
        <v>1991086.67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78674.04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1958.3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70343.54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69.65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6285.95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16.6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12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O12:O13"/>
    <mergeCell ref="A1:L1"/>
    <mergeCell ref="A9:E9"/>
    <mergeCell ref="A10:K10"/>
    <mergeCell ref="M10:N10"/>
    <mergeCell ref="A12:A13"/>
    <mergeCell ref="C12:E12"/>
    <mergeCell ref="F12:H12"/>
    <mergeCell ref="I12:K12"/>
    <mergeCell ref="L12:N12"/>
    <mergeCell ref="A3:H3"/>
    <mergeCell ref="A4:D4"/>
    <mergeCell ref="A5:C5"/>
    <mergeCell ref="A6:D6"/>
    <mergeCell ref="A7:D7"/>
    <mergeCell ref="A8:E8"/>
    <mergeCell ref="B12:B13"/>
  </mergeCells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1">
      <selection activeCell="R13" sqref="R13"/>
    </sheetView>
  </sheetViews>
  <sheetFormatPr defaultColWidth="9.00390625" defaultRowHeight="12.75" outlineLevelRow="2" outlineLevelCol="1"/>
  <cols>
    <col min="1" max="1" width="17.75390625" style="0" customWidth="1"/>
    <col min="2" max="2" width="10.875" style="0" hidden="1" customWidth="1" outlineLevel="1"/>
    <col min="3" max="3" width="10.25390625" style="0" bestFit="1" customWidth="1" collapsed="1"/>
    <col min="4" max="5" width="9.25390625" style="0" bestFit="1" customWidth="1"/>
    <col min="6" max="6" width="11.875" style="0" bestFit="1" customWidth="1"/>
    <col min="7" max="7" width="9.25390625" style="0" bestFit="1" customWidth="1"/>
    <col min="8" max="8" width="10.125" style="0" bestFit="1" customWidth="1"/>
    <col min="9" max="9" width="11.875" style="0" bestFit="1" customWidth="1"/>
    <col min="10" max="10" width="9.25390625" style="0" bestFit="1" customWidth="1"/>
    <col min="11" max="11" width="10.125" style="0" bestFit="1" customWidth="1"/>
    <col min="12" max="12" width="10.25390625" style="0" bestFit="1" customWidth="1"/>
    <col min="13" max="14" width="9.25390625" style="0" bestFit="1" customWidth="1"/>
    <col min="15" max="15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65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110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6261.3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1156.9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7418.200000000001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152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1586.1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8015.210000000006</v>
      </c>
      <c r="D17" s="25">
        <v>0</v>
      </c>
      <c r="E17" s="61">
        <f>SUM(C17:D17)</f>
        <v>8015.210000000006</v>
      </c>
      <c r="F17" s="40">
        <f>'[1]TDSheet'!$G$17</f>
        <v>43125.32</v>
      </c>
      <c r="G17" s="25"/>
      <c r="H17" s="63">
        <f aca="true" t="shared" si="3" ref="H17:H27">F17+G17</f>
        <v>43125.32</v>
      </c>
      <c r="I17" s="25">
        <f>'[2]TDSheet'!$K$29</f>
        <v>42250.2</v>
      </c>
      <c r="J17" s="26"/>
      <c r="K17" s="63">
        <f t="shared" si="0"/>
        <v>42250.2</v>
      </c>
      <c r="L17" s="25">
        <f t="shared" si="1"/>
        <v>8890.330000000009</v>
      </c>
      <c r="M17" s="25">
        <f t="shared" si="1"/>
        <v>0</v>
      </c>
      <c r="N17" s="61">
        <f t="shared" si="2"/>
        <v>8890.330000000009</v>
      </c>
      <c r="O17" s="56">
        <v>42854.45</v>
      </c>
    </row>
    <row r="18" spans="1:15" ht="24">
      <c r="A18" s="38" t="s">
        <v>13</v>
      </c>
      <c r="B18" s="67"/>
      <c r="C18" s="25">
        <v>52265.80999999997</v>
      </c>
      <c r="D18" s="25">
        <v>0</v>
      </c>
      <c r="E18" s="61">
        <f aca="true" t="shared" si="4" ref="E18:E27">SUM(C18:D18)</f>
        <v>52265.80999999997</v>
      </c>
      <c r="F18" s="25">
        <f>'[1]TDSheet'!$J$17</f>
        <v>280238.48</v>
      </c>
      <c r="G18" s="25"/>
      <c r="H18" s="63">
        <f t="shared" si="3"/>
        <v>280238.48</v>
      </c>
      <c r="I18" s="25">
        <f>'[2]TDSheet'!$P$29</f>
        <v>280500.79</v>
      </c>
      <c r="J18" s="26"/>
      <c r="K18" s="63">
        <f t="shared" si="0"/>
        <v>280500.79</v>
      </c>
      <c r="L18" s="25">
        <f t="shared" si="1"/>
        <v>52003.49999999994</v>
      </c>
      <c r="M18" s="25">
        <f t="shared" si="1"/>
        <v>0</v>
      </c>
      <c r="N18" s="61">
        <f t="shared" si="2"/>
        <v>52003.49999999994</v>
      </c>
      <c r="O18" s="56">
        <f>239605.79</f>
        <v>239605.79</v>
      </c>
    </row>
    <row r="19" spans="1:15" ht="24">
      <c r="A19" s="38" t="s">
        <v>15</v>
      </c>
      <c r="B19" s="67"/>
      <c r="C19" s="25">
        <v>4283.0999999999985</v>
      </c>
      <c r="D19" s="25">
        <v>0</v>
      </c>
      <c r="E19" s="61">
        <f t="shared" si="4"/>
        <v>4283.0999999999985</v>
      </c>
      <c r="F19" s="25">
        <f>'[1]TDSheet'!$E$17+'[10]Мусоропровод'!$F$17</f>
        <v>25281.43</v>
      </c>
      <c r="G19" s="25"/>
      <c r="H19" s="63">
        <f t="shared" si="3"/>
        <v>25281.43</v>
      </c>
      <c r="I19" s="25">
        <f>'[2]TDSheet'!$C$29</f>
        <v>25553.75</v>
      </c>
      <c r="J19" s="26"/>
      <c r="K19" s="63">
        <f t="shared" si="0"/>
        <v>25553.75</v>
      </c>
      <c r="L19" s="25">
        <f t="shared" si="1"/>
        <v>4010.779999999999</v>
      </c>
      <c r="M19" s="25">
        <f t="shared" si="1"/>
        <v>0</v>
      </c>
      <c r="N19" s="61">
        <f t="shared" si="2"/>
        <v>4010.779999999999</v>
      </c>
      <c r="O19" s="56">
        <v>65243.84</v>
      </c>
    </row>
    <row r="20" spans="1:15" ht="36">
      <c r="A20" s="38" t="s">
        <v>8</v>
      </c>
      <c r="B20" s="67"/>
      <c r="C20" s="25">
        <v>193787</v>
      </c>
      <c r="D20" s="25">
        <v>43362.52999999997</v>
      </c>
      <c r="E20" s="61">
        <f t="shared" si="4"/>
        <v>237149.52999999997</v>
      </c>
      <c r="F20" s="25">
        <f>'[1]TDSheet'!$H$17</f>
        <v>926363.36</v>
      </c>
      <c r="G20" s="25">
        <f>'[17]начисление НЖП'!$B$13+'[17]начисление НЖП'!$K$13</f>
        <v>196939.53240648986</v>
      </c>
      <c r="H20" s="63">
        <f t="shared" si="3"/>
        <v>1123302.89240649</v>
      </c>
      <c r="I20" s="25">
        <f>'[2]TDSheet'!$D$29+'[2]TDSheet'!$E$29+'[2]TDSheet'!$N$29</f>
        <v>933064.6000000001</v>
      </c>
      <c r="J20" s="26">
        <f>'[17]начисление НЖП'!$C$13+'[17]начисление НЖП'!$L$13</f>
        <v>233607.74015595508</v>
      </c>
      <c r="K20" s="63">
        <f t="shared" si="0"/>
        <v>1166672.3401559552</v>
      </c>
      <c r="L20" s="25">
        <f t="shared" si="1"/>
        <v>187085.75999999978</v>
      </c>
      <c r="M20" s="25">
        <f t="shared" si="1"/>
        <v>6694.322250534751</v>
      </c>
      <c r="N20" s="61">
        <f t="shared" si="2"/>
        <v>193780.08225053453</v>
      </c>
      <c r="O20" s="56">
        <f>1486043.92-O14-O15-O16-O17-O18-O19-O21-O22-O23-O24-O25-O26-O27</f>
        <v>868167.8599999999</v>
      </c>
    </row>
    <row r="21" spans="1:15" ht="12.75">
      <c r="A21" s="38" t="s">
        <v>10</v>
      </c>
      <c r="B21" s="67"/>
      <c r="C21" s="25">
        <v>4095.53</v>
      </c>
      <c r="D21" s="25">
        <v>61601.98999999999</v>
      </c>
      <c r="E21" s="61">
        <f t="shared" si="4"/>
        <v>65697.51999999999</v>
      </c>
      <c r="F21" s="25"/>
      <c r="G21" s="25">
        <f>'[17]коммунНЖП'!$E$18</f>
        <v>254092.86999999997</v>
      </c>
      <c r="H21" s="63">
        <f t="shared" si="3"/>
        <v>254092.86999999997</v>
      </c>
      <c r="I21" s="25"/>
      <c r="J21" s="26">
        <f>'[17]коммунНЖП'!$F$18</f>
        <v>238712.71000000002</v>
      </c>
      <c r="K21" s="63">
        <f t="shared" si="0"/>
        <v>238712.71000000002</v>
      </c>
      <c r="L21" s="25">
        <f t="shared" si="1"/>
        <v>4095.53</v>
      </c>
      <c r="M21" s="25">
        <f t="shared" si="1"/>
        <v>76982.14999999997</v>
      </c>
      <c r="N21" s="61">
        <f t="shared" si="2"/>
        <v>81077.67999999996</v>
      </c>
      <c r="O21" s="56">
        <v>268117.14</v>
      </c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610.1300000000001</v>
      </c>
      <c r="D24" s="25">
        <v>0</v>
      </c>
      <c r="E24" s="61">
        <f t="shared" si="4"/>
        <v>610.1300000000001</v>
      </c>
      <c r="F24" s="25">
        <f>'[1]TDSheet'!$L$17</f>
        <v>15778</v>
      </c>
      <c r="G24" s="25"/>
      <c r="H24" s="63">
        <f t="shared" si="3"/>
        <v>15778</v>
      </c>
      <c r="I24" s="25">
        <f>'[2]TDSheet'!$S$29</f>
        <v>15242.74</v>
      </c>
      <c r="J24" s="26"/>
      <c r="K24" s="63">
        <f t="shared" si="0"/>
        <v>15242.74</v>
      </c>
      <c r="L24" s="25">
        <f t="shared" si="1"/>
        <v>1145.3900000000012</v>
      </c>
      <c r="M24" s="25">
        <f t="shared" si="1"/>
        <v>0</v>
      </c>
      <c r="N24" s="61">
        <f t="shared" si="2"/>
        <v>1145.3900000000012</v>
      </c>
      <c r="O24" s="56">
        <v>554.84</v>
      </c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'[1]TDSheet'!$F$17</f>
        <v>1500</v>
      </c>
      <c r="G25" s="25"/>
      <c r="H25" s="63">
        <f t="shared" si="3"/>
        <v>1500</v>
      </c>
      <c r="I25" s="25">
        <f>'[2]TDSheet'!$I$29</f>
        <v>1500</v>
      </c>
      <c r="J25" s="26"/>
      <c r="K25" s="63">
        <f t="shared" si="0"/>
        <v>1500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>
        <v>1500</v>
      </c>
    </row>
    <row r="26" spans="1:15" ht="12.75" customHeight="1" hidden="1" outlineLevel="1">
      <c r="A26" s="38" t="s">
        <v>27</v>
      </c>
      <c r="B26" s="67"/>
      <c r="C26" s="25">
        <v>0</v>
      </c>
      <c r="D26" s="25">
        <v>0</v>
      </c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ollapsed="1">
      <c r="A27" s="38" t="s">
        <v>11</v>
      </c>
      <c r="B27" s="67"/>
      <c r="C27" s="25">
        <v>0</v>
      </c>
      <c r="D27" s="25">
        <v>2458.6</v>
      </c>
      <c r="E27" s="61">
        <f t="shared" si="4"/>
        <v>2458.6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2458.6</v>
      </c>
      <c r="N27" s="61">
        <f t="shared" si="2"/>
        <v>2458.6</v>
      </c>
      <c r="O27" s="56"/>
    </row>
    <row r="28" spans="1:15" ht="12.75">
      <c r="A28" s="41" t="s">
        <v>12</v>
      </c>
      <c r="B28" s="68"/>
      <c r="C28" s="42">
        <f>SUM(C14:C27)</f>
        <v>263056.77999999997</v>
      </c>
      <c r="D28" s="42">
        <f>SUM(D14:D27)</f>
        <v>107423.11999999997</v>
      </c>
      <c r="E28" s="62">
        <f>SUM(C28:D28)</f>
        <v>370479.8999999999</v>
      </c>
      <c r="F28" s="43">
        <f>SUM(F14:F27)</f>
        <v>1292286.5899999999</v>
      </c>
      <c r="G28" s="42">
        <f>SUM(G14:G27)</f>
        <v>451032.4024064898</v>
      </c>
      <c r="H28" s="64">
        <f>F28+G28</f>
        <v>1743318.9924064898</v>
      </c>
      <c r="I28" s="43">
        <f>SUM(I14:I27)</f>
        <v>1298112.08</v>
      </c>
      <c r="J28" s="45">
        <f>SUM(J14:J27)</f>
        <v>472320.4501559551</v>
      </c>
      <c r="K28" s="64">
        <f>I28+J28</f>
        <v>1770432.530155955</v>
      </c>
      <c r="L28" s="46">
        <f>SUM(L14:L27)</f>
        <v>257231.28999999975</v>
      </c>
      <c r="M28" s="44">
        <f>SUM(M14:M27)</f>
        <v>86135.07225053472</v>
      </c>
      <c r="N28" s="62">
        <f>L28+M28</f>
        <v>343366.36225053447</v>
      </c>
      <c r="O28" s="57">
        <f>SUM(O14:O27)</f>
        <v>1486043.9200000002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98170.87999999999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1263.04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78678.03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46.73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10916.94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11.14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6450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805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52"/>
      <c r="B41" s="12"/>
      <c r="C41" s="12"/>
      <c r="D41" s="12"/>
      <c r="E41" s="12"/>
      <c r="F41" s="53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O12:O13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A1:L1"/>
    <mergeCell ref="A3:H3"/>
    <mergeCell ref="A4:D4"/>
    <mergeCell ref="A5:C5"/>
    <mergeCell ref="A6:D6"/>
    <mergeCell ref="A7:D7"/>
    <mergeCell ref="B12:B13"/>
  </mergeCells>
  <printOptions/>
  <pageMargins left="0.24" right="0.31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6"/>
  <sheetViews>
    <sheetView zoomScalePageLayoutView="0" workbookViewId="0" topLeftCell="A1">
      <selection activeCell="Q13" sqref="Q13"/>
    </sheetView>
  </sheetViews>
  <sheetFormatPr defaultColWidth="9.00390625" defaultRowHeight="12.75" outlineLevelRow="1" outlineLevelCol="1"/>
  <cols>
    <col min="1" max="1" width="22.875" style="0" customWidth="1"/>
    <col min="2" max="2" width="13.75390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39" t="s">
        <v>64</v>
      </c>
      <c r="B3" s="139"/>
      <c r="C3" s="140"/>
      <c r="D3" s="140"/>
      <c r="E3" s="140"/>
      <c r="F3" s="141"/>
      <c r="G3" s="141"/>
      <c r="H3" s="141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70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5193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817.6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6010.6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110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1192.7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7413.129999999997</v>
      </c>
      <c r="D17" s="25">
        <v>0</v>
      </c>
      <c r="E17" s="61">
        <f>SUM(C17:D17)</f>
        <v>7413.129999999997</v>
      </c>
      <c r="F17" s="40">
        <f>'[1]TDSheet'!$G$19+'[3]TDSheet'!$G$15</f>
        <v>39012.92</v>
      </c>
      <c r="G17" s="25"/>
      <c r="H17" s="63">
        <f aca="true" t="shared" si="3" ref="H17:H27">F17+G17</f>
        <v>39012.92</v>
      </c>
      <c r="I17" s="25">
        <f>'[2]TDSheet'!$K$21</f>
        <v>40636.45</v>
      </c>
      <c r="J17" s="26"/>
      <c r="K17" s="63">
        <f t="shared" si="0"/>
        <v>40636.45</v>
      </c>
      <c r="L17" s="25">
        <f t="shared" si="1"/>
        <v>5789.5999999999985</v>
      </c>
      <c r="M17" s="25">
        <f t="shared" si="1"/>
        <v>0</v>
      </c>
      <c r="N17" s="61">
        <f t="shared" si="2"/>
        <v>5789.5999999999985</v>
      </c>
      <c r="O17" s="56">
        <v>39049.65</v>
      </c>
    </row>
    <row r="18" spans="1:15" ht="12.75">
      <c r="A18" s="38" t="s">
        <v>13</v>
      </c>
      <c r="B18" s="67"/>
      <c r="C18" s="25">
        <v>41986.28</v>
      </c>
      <c r="D18" s="25">
        <v>0</v>
      </c>
      <c r="E18" s="61">
        <f aca="true" t="shared" si="4" ref="E18:E27">SUM(C18:D18)</f>
        <v>41986.28</v>
      </c>
      <c r="F18" s="25">
        <f>'[1]TDSheet'!$J$19+'[4]TDSheet'!$G$17</f>
        <v>232439.04</v>
      </c>
      <c r="G18" s="25"/>
      <c r="H18" s="63">
        <f t="shared" si="3"/>
        <v>232439.04</v>
      </c>
      <c r="I18" s="25">
        <f>'[2]TDSheet'!$P$21</f>
        <v>245541.92</v>
      </c>
      <c r="J18" s="26"/>
      <c r="K18" s="63">
        <f t="shared" si="0"/>
        <v>245541.92</v>
      </c>
      <c r="L18" s="25">
        <f t="shared" si="1"/>
        <v>28883.399999999994</v>
      </c>
      <c r="M18" s="25">
        <f t="shared" si="1"/>
        <v>0</v>
      </c>
      <c r="N18" s="61">
        <f t="shared" si="2"/>
        <v>28883.399999999994</v>
      </c>
      <c r="O18" s="56">
        <v>199122.8</v>
      </c>
    </row>
    <row r="19" spans="1:15" ht="12.75" outlineLevel="1">
      <c r="A19" s="38" t="s">
        <v>15</v>
      </c>
      <c r="B19" s="67"/>
      <c r="C19" s="25">
        <v>-290.32</v>
      </c>
      <c r="D19" s="25">
        <v>0</v>
      </c>
      <c r="E19" s="61">
        <f t="shared" si="4"/>
        <v>-290.32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-290.32</v>
      </c>
      <c r="M19" s="25">
        <f t="shared" si="1"/>
        <v>0</v>
      </c>
      <c r="N19" s="61">
        <f t="shared" si="2"/>
        <v>-290.32</v>
      </c>
      <c r="O19" s="56"/>
    </row>
    <row r="20" spans="1:15" ht="24">
      <c r="A20" s="38" t="s">
        <v>8</v>
      </c>
      <c r="B20" s="67"/>
      <c r="C20" s="25">
        <v>148253.72999999998</v>
      </c>
      <c r="D20" s="25">
        <v>87898.81</v>
      </c>
      <c r="E20" s="61">
        <f t="shared" si="4"/>
        <v>236152.53999999998</v>
      </c>
      <c r="F20" s="25">
        <f>'[1]TDSheet'!$H$19+'[6]TDSheet'!$G$19</f>
        <v>768356.64</v>
      </c>
      <c r="G20" s="25">
        <f>'[17]начисление НЖП'!$B$15+'[17]начисление НЖП'!$K$15</f>
        <v>136901.32068890674</v>
      </c>
      <c r="H20" s="63">
        <f t="shared" si="3"/>
        <v>905257.9606889067</v>
      </c>
      <c r="I20" s="25">
        <f>'[2]TDSheet'!$N$21</f>
        <v>816325.76</v>
      </c>
      <c r="J20" s="26">
        <f>'[17]начисление НЖП'!$C$15+'[17]начисление НЖП'!$L$15</f>
        <v>131021.8818391771</v>
      </c>
      <c r="K20" s="63">
        <f t="shared" si="0"/>
        <v>947347.6418391771</v>
      </c>
      <c r="L20" s="25">
        <f t="shared" si="1"/>
        <v>100284.60999999999</v>
      </c>
      <c r="M20" s="25">
        <f t="shared" si="1"/>
        <v>93778.24884972963</v>
      </c>
      <c r="N20" s="61">
        <f t="shared" si="2"/>
        <v>194062.85884972962</v>
      </c>
      <c r="O20" s="56">
        <f>1043864.73-O14-O15-O16-O17-O18-O19-O21-O22-O23-O24-O25-O26-O27</f>
        <v>644225.0800000001</v>
      </c>
    </row>
    <row r="21" spans="1:15" ht="12.75">
      <c r="A21" s="38" t="s">
        <v>10</v>
      </c>
      <c r="B21" s="67"/>
      <c r="C21" s="25">
        <v>-3.22</v>
      </c>
      <c r="D21" s="25">
        <v>78112.34999999999</v>
      </c>
      <c r="E21" s="61">
        <f t="shared" si="4"/>
        <v>78109.12999999999</v>
      </c>
      <c r="F21" s="25"/>
      <c r="G21" s="25">
        <f>'[10]коммунНЖП'!$E$27</f>
        <v>152970.41</v>
      </c>
      <c r="H21" s="63">
        <f t="shared" si="3"/>
        <v>152970.41</v>
      </c>
      <c r="I21" s="25"/>
      <c r="J21" s="26">
        <f>'[10]коммунНЖП'!$F$27</f>
        <v>110593.63</v>
      </c>
      <c r="K21" s="63">
        <f t="shared" si="0"/>
        <v>110593.63</v>
      </c>
      <c r="L21" s="25">
        <f t="shared" si="1"/>
        <v>-3.22</v>
      </c>
      <c r="M21" s="25">
        <f t="shared" si="1"/>
        <v>120489.13</v>
      </c>
      <c r="N21" s="61">
        <f t="shared" si="2"/>
        <v>120485.91</v>
      </c>
      <c r="O21" s="56">
        <v>161467.2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1743.8000000000002</v>
      </c>
      <c r="D24" s="25">
        <v>0</v>
      </c>
      <c r="E24" s="61">
        <f t="shared" si="4"/>
        <v>1743.8000000000002</v>
      </c>
      <c r="F24" s="25">
        <f>'[1]TDSheet'!$L$19+'[7]TDSheet'!$G$17</f>
        <v>13086</v>
      </c>
      <c r="G24" s="25"/>
      <c r="H24" s="63">
        <f t="shared" si="3"/>
        <v>13086</v>
      </c>
      <c r="I24" s="25">
        <f>'[2]TDSheet'!$S$21</f>
        <v>13295.65</v>
      </c>
      <c r="J24" s="26"/>
      <c r="K24" s="63">
        <f t="shared" si="0"/>
        <v>13295.65</v>
      </c>
      <c r="L24" s="25">
        <f t="shared" si="1"/>
        <v>1534.1499999999996</v>
      </c>
      <c r="M24" s="25">
        <f t="shared" si="1"/>
        <v>0</v>
      </c>
      <c r="N24" s="61">
        <f t="shared" si="2"/>
        <v>1534.1499999999996</v>
      </c>
      <c r="O24" s="56"/>
    </row>
    <row r="25" spans="1:15" ht="12.75">
      <c r="A25" s="38" t="s">
        <v>18</v>
      </c>
      <c r="B25" s="67"/>
      <c r="C25" s="25">
        <v>2610.81</v>
      </c>
      <c r="D25" s="25">
        <v>0</v>
      </c>
      <c r="E25" s="61">
        <f t="shared" si="4"/>
        <v>2610.81</v>
      </c>
      <c r="F25" s="25">
        <f>'[1]TDSheet'!$F$19+'[11]TDSheet'!$G$13</f>
        <v>0</v>
      </c>
      <c r="G25" s="25"/>
      <c r="H25" s="63">
        <f t="shared" si="3"/>
        <v>0</v>
      </c>
      <c r="I25" s="25">
        <f>'[2]TDSheet'!$I$21</f>
        <v>610.81</v>
      </c>
      <c r="J25" s="26"/>
      <c r="K25" s="63">
        <f t="shared" si="0"/>
        <v>610.81</v>
      </c>
      <c r="L25" s="25">
        <f t="shared" si="1"/>
        <v>2000</v>
      </c>
      <c r="M25" s="25">
        <f t="shared" si="1"/>
        <v>0</v>
      </c>
      <c r="N25" s="61">
        <f t="shared" si="2"/>
        <v>2000</v>
      </c>
      <c r="O25" s="56">
        <v>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 collapsed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201714.20999999996</v>
      </c>
      <c r="D28" s="42">
        <f>SUM(D14:D27)</f>
        <v>166011.15999999997</v>
      </c>
      <c r="E28" s="62">
        <f>SUM(C28:D28)</f>
        <v>367725.36999999994</v>
      </c>
      <c r="F28" s="43">
        <f>SUM(F14:F27)</f>
        <v>1052894.6</v>
      </c>
      <c r="G28" s="42">
        <f>SUM(G14:G27)</f>
        <v>289871.73068890674</v>
      </c>
      <c r="H28" s="64">
        <f>F28+G28</f>
        <v>1342766.3306889068</v>
      </c>
      <c r="I28" s="43">
        <f>SUM(I14:I27)</f>
        <v>1116410.5899999999</v>
      </c>
      <c r="J28" s="45">
        <f>SUM(J14:J27)</f>
        <v>241615.5118391771</v>
      </c>
      <c r="K28" s="64">
        <f>I28+J28</f>
        <v>1358026.1018391768</v>
      </c>
      <c r="L28" s="46">
        <f>SUM(L14:L27)</f>
        <v>138198.21999999997</v>
      </c>
      <c r="M28" s="44">
        <f>SUM(M14:M27)</f>
        <v>214267.37884972963</v>
      </c>
      <c r="N28" s="62">
        <f>L28+M28</f>
        <v>352465.59884972963</v>
      </c>
      <c r="O28" s="57">
        <f>SUM(O14:O27)</f>
        <v>1043864.73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3605.3800000000006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30.12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306.34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37.86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3222.03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9.03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36" right="0.32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4">
      <selection activeCell="R12" sqref="R12"/>
    </sheetView>
  </sheetViews>
  <sheetFormatPr defaultColWidth="9.00390625" defaultRowHeight="12.75" outlineLevelRow="1" outlineLevelCol="1"/>
  <cols>
    <col min="1" max="1" width="23.125" style="0" customWidth="1"/>
    <col min="2" max="2" width="12.87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63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150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8253.8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646.2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8900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130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1017.1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ollapsed="1">
      <c r="A16" s="39" t="s">
        <v>9</v>
      </c>
      <c r="B16" s="67"/>
      <c r="C16" s="25">
        <v>475.74</v>
      </c>
      <c r="D16" s="25">
        <v>0</v>
      </c>
      <c r="E16" s="61">
        <f>SUM(C16:D16)</f>
        <v>475.74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475.74</v>
      </c>
      <c r="M16" s="25">
        <f t="shared" si="1"/>
        <v>0</v>
      </c>
      <c r="N16" s="61">
        <f t="shared" si="2"/>
        <v>475.74</v>
      </c>
      <c r="O16" s="56"/>
    </row>
    <row r="17" spans="1:15" ht="12.75">
      <c r="A17" s="39" t="s">
        <v>16</v>
      </c>
      <c r="B17" s="67"/>
      <c r="C17" s="25">
        <v>4328.91</v>
      </c>
      <c r="D17" s="25">
        <v>0</v>
      </c>
      <c r="E17" s="61">
        <f>SUM(C17:D17)</f>
        <v>4328.91</v>
      </c>
      <c r="F17" s="40">
        <f>'[1]TDSheet'!$G$20+'[3]TDSheet'!$G$16</f>
        <v>22227.27</v>
      </c>
      <c r="G17" s="25"/>
      <c r="H17" s="63">
        <f aca="true" t="shared" si="3" ref="H17:H27">F17+G17</f>
        <v>22227.27</v>
      </c>
      <c r="I17" s="25">
        <f>'[2]TDSheet'!$K$22</f>
        <v>22528.87</v>
      </c>
      <c r="J17" s="26"/>
      <c r="K17" s="63">
        <f t="shared" si="0"/>
        <v>22528.87</v>
      </c>
      <c r="L17" s="25">
        <f t="shared" si="1"/>
        <v>4027.3100000000013</v>
      </c>
      <c r="M17" s="25">
        <f t="shared" si="1"/>
        <v>0</v>
      </c>
      <c r="N17" s="61">
        <f t="shared" si="2"/>
        <v>4027.3100000000013</v>
      </c>
      <c r="O17" s="56">
        <v>21964.57</v>
      </c>
    </row>
    <row r="18" spans="1:15" ht="12.75">
      <c r="A18" s="38" t="s">
        <v>13</v>
      </c>
      <c r="B18" s="67"/>
      <c r="C18" s="25">
        <v>63524.94</v>
      </c>
      <c r="D18" s="25">
        <v>0</v>
      </c>
      <c r="E18" s="61">
        <f aca="true" t="shared" si="4" ref="E18:E27">SUM(C18:D18)</f>
        <v>63524.94</v>
      </c>
      <c r="F18" s="25">
        <f>'[1]TDSheet'!$J$20+'[4]TDSheet'!$G$18</f>
        <v>366713.82</v>
      </c>
      <c r="G18" s="25"/>
      <c r="H18" s="63">
        <f t="shared" si="3"/>
        <v>366713.82</v>
      </c>
      <c r="I18" s="25">
        <f>'[2]TDSheet'!$P$22</f>
        <v>358369.08</v>
      </c>
      <c r="J18" s="26"/>
      <c r="K18" s="63">
        <f t="shared" si="0"/>
        <v>358369.08</v>
      </c>
      <c r="L18" s="25">
        <f t="shared" si="1"/>
        <v>71869.68</v>
      </c>
      <c r="M18" s="25">
        <f t="shared" si="1"/>
        <v>0</v>
      </c>
      <c r="N18" s="61">
        <f t="shared" si="2"/>
        <v>71869.68</v>
      </c>
      <c r="O18" s="56">
        <v>298044.04</v>
      </c>
    </row>
    <row r="19" spans="1:15" ht="12.75" outlineLevel="1">
      <c r="A19" s="38" t="s">
        <v>15</v>
      </c>
      <c r="B19" s="67"/>
      <c r="C19" s="25">
        <v>-307.98</v>
      </c>
      <c r="D19" s="25">
        <v>0</v>
      </c>
      <c r="E19" s="61">
        <f t="shared" si="4"/>
        <v>-307.98</v>
      </c>
      <c r="F19" s="25">
        <f>'[5]TDSheet'!$G$14</f>
        <v>42.09</v>
      </c>
      <c r="G19" s="25"/>
      <c r="H19" s="63">
        <f t="shared" si="3"/>
        <v>42.09</v>
      </c>
      <c r="I19" s="25">
        <f>'[5]TDSheet'!$D$14</f>
        <v>42.09</v>
      </c>
      <c r="J19" s="26"/>
      <c r="K19" s="63">
        <f t="shared" si="0"/>
        <v>42.09</v>
      </c>
      <c r="L19" s="25">
        <f t="shared" si="1"/>
        <v>-307.98</v>
      </c>
      <c r="M19" s="25">
        <f t="shared" si="1"/>
        <v>0</v>
      </c>
      <c r="N19" s="61">
        <f t="shared" si="2"/>
        <v>-307.98</v>
      </c>
      <c r="O19" s="56"/>
    </row>
    <row r="20" spans="1:15" ht="24">
      <c r="A20" s="38" t="s">
        <v>8</v>
      </c>
      <c r="B20" s="67"/>
      <c r="C20" s="25">
        <v>212830.05000000005</v>
      </c>
      <c r="D20" s="25">
        <v>73211.65000000002</v>
      </c>
      <c r="E20" s="61">
        <f t="shared" si="4"/>
        <v>286041.70000000007</v>
      </c>
      <c r="F20" s="25">
        <f>'[1]TDSheet'!$H$20+'[6]TDSheet'!$G$20</f>
        <v>1221515.73</v>
      </c>
      <c r="G20" s="25">
        <f>'[17]начисление НЖП'!$B$16+'[17]начисление НЖП'!$K$16</f>
        <v>119985.57539534658</v>
      </c>
      <c r="H20" s="63">
        <f t="shared" si="3"/>
        <v>1341501.3053953466</v>
      </c>
      <c r="I20" s="25">
        <f>'[2]TDSheet'!$D$22+'[2]TDSheet'!$E$22+'[2]TDSheet'!$N$22</f>
        <v>1203346</v>
      </c>
      <c r="J20" s="26">
        <f>'[17]начисление НЖП'!$C$16+'[17]начисление НЖП'!$L$16</f>
        <v>23456.42001941176</v>
      </c>
      <c r="K20" s="63">
        <f t="shared" si="0"/>
        <v>1226802.4200194117</v>
      </c>
      <c r="L20" s="25">
        <f t="shared" si="1"/>
        <v>230999.78000000003</v>
      </c>
      <c r="M20" s="25">
        <f t="shared" si="1"/>
        <v>169740.8053759348</v>
      </c>
      <c r="N20" s="61">
        <f t="shared" si="2"/>
        <v>400740.58537593484</v>
      </c>
      <c r="O20" s="56">
        <f>1373078.79-O14-O15-O16-O17-O18-O19-O21-O22-O23-O24-O25-O26-O27</f>
        <v>929165.0399999999</v>
      </c>
    </row>
    <row r="21" spans="1:15" ht="12.75">
      <c r="A21" s="38" t="s">
        <v>10</v>
      </c>
      <c r="B21" s="67"/>
      <c r="C21" s="25">
        <v>6340.38</v>
      </c>
      <c r="D21" s="25">
        <v>24951.830000000016</v>
      </c>
      <c r="E21" s="61">
        <f t="shared" si="4"/>
        <v>31292.210000000017</v>
      </c>
      <c r="F21" s="25"/>
      <c r="G21" s="25">
        <f>'[10]коммунНЖП'!$E$34</f>
        <v>118019.93</v>
      </c>
      <c r="H21" s="63">
        <f t="shared" si="3"/>
        <v>118019.93</v>
      </c>
      <c r="I21" s="25">
        <f>'[2]TDSheet'!$Q$22</f>
        <v>0</v>
      </c>
      <c r="J21" s="26">
        <f>'[10]коммунНЖП'!$F$34</f>
        <v>142035.01</v>
      </c>
      <c r="K21" s="63">
        <f t="shared" si="0"/>
        <v>142035.01</v>
      </c>
      <c r="L21" s="25">
        <f t="shared" si="1"/>
        <v>6340.38</v>
      </c>
      <c r="M21" s="25">
        <f t="shared" si="1"/>
        <v>936.75</v>
      </c>
      <c r="N21" s="61">
        <f t="shared" si="2"/>
        <v>7277.13</v>
      </c>
      <c r="O21" s="56">
        <v>122282.91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2475.9100000000008</v>
      </c>
      <c r="D24" s="25">
        <v>0</v>
      </c>
      <c r="E24" s="61">
        <f t="shared" si="4"/>
        <v>2475.9100000000008</v>
      </c>
      <c r="F24" s="25">
        <f>'[1]TDSheet'!$L$20+'[7]TDSheet'!$G$18</f>
        <v>20808.51</v>
      </c>
      <c r="G24" s="25"/>
      <c r="H24" s="63">
        <f t="shared" si="3"/>
        <v>20808.51</v>
      </c>
      <c r="I24" s="25">
        <f>'[2]TDSheet'!$S$22</f>
        <v>26465.24</v>
      </c>
      <c r="J24" s="26"/>
      <c r="K24" s="63">
        <f t="shared" si="0"/>
        <v>26465.24</v>
      </c>
      <c r="L24" s="25">
        <f t="shared" si="1"/>
        <v>-3180.8200000000033</v>
      </c>
      <c r="M24" s="25">
        <f t="shared" si="1"/>
        <v>0</v>
      </c>
      <c r="N24" s="61">
        <f t="shared" si="2"/>
        <v>-3180.8200000000033</v>
      </c>
      <c r="O24" s="56">
        <v>1622.23</v>
      </c>
    </row>
    <row r="25" spans="1:15" ht="12.75">
      <c r="A25" s="38" t="s">
        <v>18</v>
      </c>
      <c r="B25" s="67"/>
      <c r="C25" s="25">
        <v>500.00000000000045</v>
      </c>
      <c r="D25" s="25">
        <v>-1500</v>
      </c>
      <c r="E25" s="61">
        <f t="shared" si="4"/>
        <v>-999.9999999999995</v>
      </c>
      <c r="F25" s="25">
        <f>'[1]TDSheet'!$F$20</f>
        <v>0</v>
      </c>
      <c r="G25" s="25"/>
      <c r="H25" s="63">
        <f t="shared" si="3"/>
        <v>0</v>
      </c>
      <c r="I25" s="25">
        <f>'[2]TDSheet'!$I$22</f>
        <v>500</v>
      </c>
      <c r="J25" s="26"/>
      <c r="K25" s="63">
        <f t="shared" si="0"/>
        <v>500</v>
      </c>
      <c r="L25" s="25">
        <f t="shared" si="1"/>
        <v>4.547473508864641E-13</v>
      </c>
      <c r="M25" s="25">
        <f t="shared" si="1"/>
        <v>-1500</v>
      </c>
      <c r="N25" s="61">
        <f t="shared" si="2"/>
        <v>-1499.9999999999995</v>
      </c>
      <c r="O25" s="56">
        <v>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 collapsed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290167.95</v>
      </c>
      <c r="D28" s="42">
        <f>SUM(D14:D27)</f>
        <v>96663.48000000004</v>
      </c>
      <c r="E28" s="62">
        <f>SUM(C28:D28)</f>
        <v>386831.43000000005</v>
      </c>
      <c r="F28" s="43">
        <f>SUM(F14:F27)</f>
        <v>1631307.4200000002</v>
      </c>
      <c r="G28" s="42">
        <f>SUM(G14:G27)</f>
        <v>238005.50539534655</v>
      </c>
      <c r="H28" s="64">
        <f>F28+G28</f>
        <v>1869312.9253953467</v>
      </c>
      <c r="I28" s="43">
        <f>SUM(I14:I27)</f>
        <v>1611251.28</v>
      </c>
      <c r="J28" s="45">
        <f>SUM(J14:J27)</f>
        <v>165491.43001941178</v>
      </c>
      <c r="K28" s="64">
        <f>I28+J28</f>
        <v>1776742.7100194118</v>
      </c>
      <c r="L28" s="46">
        <f>SUM(L14:L27)</f>
        <v>310224.09</v>
      </c>
      <c r="M28" s="44">
        <f>SUM(M14:M27)</f>
        <v>169177.5553759348</v>
      </c>
      <c r="N28" s="62">
        <f>L28+M28</f>
        <v>479401.64537593484</v>
      </c>
      <c r="O28" s="57">
        <f>SUM(O14:O27)</f>
        <v>1373078.7899999998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32311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44.58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453.56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56.07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12341.43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13.36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19402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52"/>
      <c r="B41" s="12"/>
      <c r="C41" s="12"/>
      <c r="D41" s="12"/>
      <c r="E41" s="12"/>
      <c r="F41" s="53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A10:K10"/>
    <mergeCell ref="A12:A13"/>
    <mergeCell ref="C12:E12"/>
    <mergeCell ref="F12:H12"/>
    <mergeCell ref="I12:K12"/>
    <mergeCell ref="L12:N12"/>
    <mergeCell ref="M10:N10"/>
    <mergeCell ref="B12:B13"/>
    <mergeCell ref="A8:E8"/>
    <mergeCell ref="A9:E9"/>
    <mergeCell ref="O12:O13"/>
    <mergeCell ref="A1:L1"/>
    <mergeCell ref="A3:H3"/>
    <mergeCell ref="A4:D4"/>
    <mergeCell ref="A5:C5"/>
    <mergeCell ref="A6:D6"/>
    <mergeCell ref="A7:D7"/>
  </mergeCells>
  <printOptions/>
  <pageMargins left="0.35" right="0.28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8"/>
  <sheetViews>
    <sheetView zoomScalePageLayoutView="0" workbookViewId="0" topLeftCell="A11">
      <selection activeCell="R19" sqref="Q19:R20"/>
    </sheetView>
  </sheetViews>
  <sheetFormatPr defaultColWidth="9.00390625" defaultRowHeight="12.75" outlineLevelRow="1" outlineLevelCol="1"/>
  <cols>
    <col min="1" max="1" width="19.875" style="0" customWidth="1"/>
    <col min="2" max="2" width="13.1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39" t="s">
        <v>62</v>
      </c>
      <c r="B3" s="139"/>
      <c r="C3" s="140"/>
      <c r="D3" s="140"/>
      <c r="E3" s="140"/>
      <c r="F3" s="141"/>
      <c r="G3" s="141"/>
      <c r="H3" s="141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186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10864.55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986.3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11850.849999999999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200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1416.6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ollapsed="1">
      <c r="A16" s="39" t="s">
        <v>9</v>
      </c>
      <c r="B16" s="67"/>
      <c r="C16" s="25">
        <v>129809.57999999996</v>
      </c>
      <c r="D16" s="25">
        <v>203.5</v>
      </c>
      <c r="E16" s="61">
        <f>SUM(C16:D16)</f>
        <v>130013.07999999996</v>
      </c>
      <c r="F16" s="25">
        <f>'[12]TDSheet'!$E$10</f>
        <v>-6516.46</v>
      </c>
      <c r="G16" s="25"/>
      <c r="H16" s="63">
        <f>F16+G16</f>
        <v>-6516.46</v>
      </c>
      <c r="I16" s="25">
        <f>'[2]TDSheet'!$G$16+'[2]TDSheet'!$H$16</f>
        <v>89425.04</v>
      </c>
      <c r="J16" s="26"/>
      <c r="K16" s="63">
        <f t="shared" si="0"/>
        <v>89425.04</v>
      </c>
      <c r="L16" s="25">
        <f t="shared" si="1"/>
        <v>33868.07999999996</v>
      </c>
      <c r="M16" s="25">
        <f t="shared" si="1"/>
        <v>203.5</v>
      </c>
      <c r="N16" s="61">
        <f t="shared" si="2"/>
        <v>34071.57999999996</v>
      </c>
      <c r="O16" s="56"/>
    </row>
    <row r="17" spans="1:15" ht="12.75">
      <c r="A17" s="39" t="s">
        <v>16</v>
      </c>
      <c r="B17" s="67"/>
      <c r="C17" s="25">
        <v>24170.869999999995</v>
      </c>
      <c r="D17" s="25">
        <v>0</v>
      </c>
      <c r="E17" s="61">
        <f>SUM(C17:D17)</f>
        <v>24170.869999999995</v>
      </c>
      <c r="F17" s="40">
        <f>'[1]TDSheet'!$G$21+'[3]TDSheet'!$G$17</f>
        <v>93219.27</v>
      </c>
      <c r="G17" s="25"/>
      <c r="H17" s="63">
        <f aca="true" t="shared" si="3" ref="H17:H27">F17+G17</f>
        <v>93219.27</v>
      </c>
      <c r="I17" s="25">
        <f>'[2]TDSheet'!$K$16</f>
        <v>93141.53</v>
      </c>
      <c r="J17" s="26"/>
      <c r="K17" s="63">
        <f t="shared" si="0"/>
        <v>93141.53</v>
      </c>
      <c r="L17" s="25">
        <f t="shared" si="1"/>
        <v>24248.61</v>
      </c>
      <c r="M17" s="25">
        <f t="shared" si="1"/>
        <v>0</v>
      </c>
      <c r="N17" s="61">
        <f t="shared" si="2"/>
        <v>24248.61</v>
      </c>
      <c r="O17" s="56">
        <v>91939.01</v>
      </c>
    </row>
    <row r="18" spans="1:15" ht="24">
      <c r="A18" s="38" t="s">
        <v>13</v>
      </c>
      <c r="B18" s="67"/>
      <c r="C18" s="25">
        <v>122192.09000000008</v>
      </c>
      <c r="D18" s="25">
        <v>0</v>
      </c>
      <c r="E18" s="61">
        <f aca="true" t="shared" si="4" ref="E18:E27">SUM(C18:D18)</f>
        <v>122192.09000000008</v>
      </c>
      <c r="F18" s="25">
        <f>'[1]TDSheet'!$J$21+'[4]TDSheet'!$G$19</f>
        <v>486280.12</v>
      </c>
      <c r="G18" s="25"/>
      <c r="H18" s="63">
        <f t="shared" si="3"/>
        <v>486280.12</v>
      </c>
      <c r="I18" s="25">
        <f>'[2]TDSheet'!$P$16</f>
        <v>483946.43</v>
      </c>
      <c r="J18" s="26"/>
      <c r="K18" s="63">
        <f t="shared" si="0"/>
        <v>483946.43</v>
      </c>
      <c r="L18" s="25">
        <f t="shared" si="1"/>
        <v>124525.78000000009</v>
      </c>
      <c r="M18" s="25">
        <f t="shared" si="1"/>
        <v>0</v>
      </c>
      <c r="N18" s="61">
        <f t="shared" si="2"/>
        <v>124525.78000000009</v>
      </c>
      <c r="O18" s="56">
        <v>402732.45</v>
      </c>
    </row>
    <row r="19" spans="1:15" ht="24">
      <c r="A19" s="38" t="s">
        <v>15</v>
      </c>
      <c r="B19" s="67"/>
      <c r="C19" s="25">
        <v>16710.46</v>
      </c>
      <c r="D19" s="25">
        <v>0</v>
      </c>
      <c r="E19" s="61">
        <f t="shared" si="4"/>
        <v>16710.46</v>
      </c>
      <c r="F19" s="25">
        <f>'[1]TDSheet'!$E$21+'[5]TDSheet'!$G$15</f>
        <v>63880.4</v>
      </c>
      <c r="G19" s="25"/>
      <c r="H19" s="63">
        <f t="shared" si="3"/>
        <v>63880.4</v>
      </c>
      <c r="I19" s="25">
        <f>'[2]TDSheet'!$C$16</f>
        <v>63996.1</v>
      </c>
      <c r="J19" s="26"/>
      <c r="K19" s="63">
        <f t="shared" si="0"/>
        <v>63996.1</v>
      </c>
      <c r="L19" s="25">
        <f t="shared" si="1"/>
        <v>16594.760000000002</v>
      </c>
      <c r="M19" s="25">
        <f t="shared" si="1"/>
        <v>0</v>
      </c>
      <c r="N19" s="61">
        <f t="shared" si="2"/>
        <v>16594.760000000002</v>
      </c>
      <c r="O19" s="56">
        <v>113468.1</v>
      </c>
    </row>
    <row r="20" spans="1:15" ht="36">
      <c r="A20" s="38" t="s">
        <v>8</v>
      </c>
      <c r="B20" s="67"/>
      <c r="C20" s="25">
        <v>413918.97</v>
      </c>
      <c r="D20" s="25">
        <v>44239.32000000001</v>
      </c>
      <c r="E20" s="61">
        <f t="shared" si="4"/>
        <v>458158.29</v>
      </c>
      <c r="F20" s="25">
        <f>'[1]TDSheet'!$H$21+'[6]TDSheet'!$G$21</f>
        <v>1607459.52</v>
      </c>
      <c r="G20" s="25">
        <f>'[17]начисление НЖП'!$B$17+'[17]начисление НЖП'!$K$17</f>
        <v>180163.26543358908</v>
      </c>
      <c r="H20" s="63">
        <f t="shared" si="3"/>
        <v>1787622.785433589</v>
      </c>
      <c r="I20" s="25">
        <f>'[2]TDSheet'!$D$16+'[2]TDSheet'!$E$16+'[2]TDSheet'!$N$16</f>
        <v>1602473.2100000002</v>
      </c>
      <c r="J20" s="26">
        <f>'[17]начисление НЖП'!$C$17+'[17]начисление НЖП'!$L$17</f>
        <v>190598.57945360063</v>
      </c>
      <c r="K20" s="63">
        <f t="shared" si="0"/>
        <v>1793071.7894536008</v>
      </c>
      <c r="L20" s="25">
        <f t="shared" si="1"/>
        <v>418905.2799999998</v>
      </c>
      <c r="M20" s="25">
        <f t="shared" si="1"/>
        <v>33804.00597998846</v>
      </c>
      <c r="N20" s="61">
        <f t="shared" si="2"/>
        <v>452709.2859799883</v>
      </c>
      <c r="O20" s="56">
        <f>2004416.94-O14-O15-O16-O17-O18-O19-O21-O22-O23-O24-O25-O26-O27</f>
        <v>1101040.66</v>
      </c>
    </row>
    <row r="21" spans="1:15" ht="12.75">
      <c r="A21" s="38" t="s">
        <v>10</v>
      </c>
      <c r="B21" s="67"/>
      <c r="C21" s="25">
        <v>1056.6499999999999</v>
      </c>
      <c r="D21" s="25">
        <v>51673.22999999998</v>
      </c>
      <c r="E21" s="61">
        <f t="shared" si="4"/>
        <v>52729.87999999998</v>
      </c>
      <c r="F21" s="25"/>
      <c r="G21" s="25">
        <f>'[10]коммунНЖП'!$E$40</f>
        <v>275260.36000000004</v>
      </c>
      <c r="H21" s="63">
        <f t="shared" si="3"/>
        <v>275260.36000000004</v>
      </c>
      <c r="I21" s="25">
        <f>'[2]TDSheet'!$Q$16</f>
        <v>1230.16</v>
      </c>
      <c r="J21" s="26">
        <f>'[10]коммунНЖП'!$F$40</f>
        <v>255226.97999999998</v>
      </c>
      <c r="K21" s="63">
        <f t="shared" si="0"/>
        <v>256457.13999999998</v>
      </c>
      <c r="L21" s="25">
        <f t="shared" si="1"/>
        <v>-173.51000000000022</v>
      </c>
      <c r="M21" s="25">
        <f t="shared" si="1"/>
        <v>71706.61000000004</v>
      </c>
      <c r="N21" s="61">
        <f t="shared" si="2"/>
        <v>71533.10000000005</v>
      </c>
      <c r="O21" s="56">
        <v>290736.72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4463.65</v>
      </c>
      <c r="D24" s="25">
        <v>0</v>
      </c>
      <c r="E24" s="61">
        <f t="shared" si="4"/>
        <v>4463.65</v>
      </c>
      <c r="F24" s="25">
        <f>'[1]TDSheet'!$L$21+'[7]TDSheet'!$G$19</f>
        <v>27381.68</v>
      </c>
      <c r="G24" s="25"/>
      <c r="H24" s="63">
        <f t="shared" si="3"/>
        <v>27381.68</v>
      </c>
      <c r="I24" s="25">
        <f>'[2]TDSheet'!$S$16</f>
        <v>26042.08</v>
      </c>
      <c r="J24" s="26"/>
      <c r="K24" s="63">
        <f t="shared" si="0"/>
        <v>26042.08</v>
      </c>
      <c r="L24" s="25">
        <f t="shared" si="1"/>
        <v>5803.25</v>
      </c>
      <c r="M24" s="25">
        <f t="shared" si="1"/>
        <v>0</v>
      </c>
      <c r="N24" s="61">
        <f t="shared" si="2"/>
        <v>5803.25</v>
      </c>
      <c r="O24" s="56"/>
    </row>
    <row r="25" spans="1:15" ht="12.75">
      <c r="A25" s="38" t="s">
        <v>18</v>
      </c>
      <c r="B25" s="67"/>
      <c r="C25" s="25">
        <v>3824.3999999999996</v>
      </c>
      <c r="D25" s="25">
        <v>0</v>
      </c>
      <c r="E25" s="61">
        <f t="shared" si="4"/>
        <v>3824.3999999999996</v>
      </c>
      <c r="F25" s="25">
        <f>'[1]TDSheet'!$F$21+'[11]TDSheet'!$G$15</f>
        <v>4500</v>
      </c>
      <c r="G25" s="25"/>
      <c r="H25" s="63">
        <f t="shared" si="3"/>
        <v>4500</v>
      </c>
      <c r="I25" s="25">
        <f>'[2]TDSheet'!$I$16</f>
        <v>6553.21</v>
      </c>
      <c r="J25" s="26"/>
      <c r="K25" s="63">
        <f t="shared" si="0"/>
        <v>6553.21</v>
      </c>
      <c r="L25" s="25">
        <f t="shared" si="1"/>
        <v>1771.1899999999996</v>
      </c>
      <c r="M25" s="25">
        <f t="shared" si="1"/>
        <v>0</v>
      </c>
      <c r="N25" s="61">
        <f t="shared" si="2"/>
        <v>1771.1899999999996</v>
      </c>
      <c r="O25" s="56">
        <f>6000-1500</f>
        <v>4500</v>
      </c>
    </row>
    <row r="26" spans="1:15" ht="13.5" customHeight="1" hidden="1" outlineLevel="1" thickBot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3.5" customHeight="1" hidden="1" outlineLevel="1" collapsed="1" thickBot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716146.67</v>
      </c>
      <c r="D28" s="42">
        <f>SUM(D14:D27)</f>
        <v>96116.04999999999</v>
      </c>
      <c r="E28" s="62">
        <f>SUM(C28:D28)</f>
        <v>812262.72</v>
      </c>
      <c r="F28" s="43">
        <f>SUM(F14:F27)</f>
        <v>2276204.5300000003</v>
      </c>
      <c r="G28" s="42">
        <f>SUM(G14:G27)</f>
        <v>455423.6254335891</v>
      </c>
      <c r="H28" s="64">
        <f>F28+G28</f>
        <v>2731628.1554335896</v>
      </c>
      <c r="I28" s="43">
        <f>SUM(I14:I27)</f>
        <v>2366807.7600000002</v>
      </c>
      <c r="J28" s="45">
        <f>SUM(J14:J27)</f>
        <v>445825.5594536006</v>
      </c>
      <c r="K28" s="64">
        <f>I28+J28</f>
        <v>2812633.319453601</v>
      </c>
      <c r="L28" s="46">
        <f>SUM(L14:L27)</f>
        <v>625543.4399999997</v>
      </c>
      <c r="M28" s="44">
        <f>SUM(M14:M27)</f>
        <v>105714.1159799885</v>
      </c>
      <c r="N28" s="62">
        <f>L28+M28</f>
        <v>731257.5559799882</v>
      </c>
      <c r="O28" s="57">
        <f>SUM(O14:O27)</f>
        <v>2004416.94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17815.9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59.4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603.93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74.65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6350.85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334.27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17.8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10375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21" right="0.1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Y44"/>
  <sheetViews>
    <sheetView zoomScalePageLayoutView="0" workbookViewId="0" topLeftCell="A1">
      <selection activeCell="B11" sqref="B1:B16384"/>
    </sheetView>
  </sheetViews>
  <sheetFormatPr defaultColWidth="9.00390625" defaultRowHeight="12.75" outlineLevelRow="1" outlineLevelCol="1"/>
  <cols>
    <col min="1" max="1" width="15.25390625" style="0" customWidth="1"/>
    <col min="2" max="2" width="12.875" style="0" hidden="1" customWidth="1" outlineLevel="1"/>
    <col min="3" max="3" width="10.125" style="0" bestFit="1" customWidth="1" collapsed="1"/>
    <col min="4" max="4" width="10.375" style="0" customWidth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39" t="s">
        <v>61</v>
      </c>
      <c r="B3" s="139"/>
      <c r="C3" s="140"/>
      <c r="D3" s="140"/>
      <c r="E3" s="140"/>
      <c r="F3" s="141"/>
      <c r="G3" s="141"/>
      <c r="H3" s="141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131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6628.34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57.1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6685.4400000000005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164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689.2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>I15+J15</f>
        <v>0</v>
      </c>
      <c r="L15" s="25">
        <f>C15+F15-I15</f>
        <v>0</v>
      </c>
      <c r="M15" s="25">
        <f aca="true" t="shared" si="0" ref="M15:M24">D15+G15-J15</f>
        <v>0</v>
      </c>
      <c r="N15" s="61">
        <f>L15+M15</f>
        <v>0</v>
      </c>
      <c r="O15" s="56"/>
    </row>
    <row r="16" spans="1:15" ht="24" collapsed="1">
      <c r="A16" s="39" t="s">
        <v>9</v>
      </c>
      <c r="B16" s="67"/>
      <c r="C16" s="25">
        <v>117818.09000000003</v>
      </c>
      <c r="D16" s="25"/>
      <c r="E16" s="61">
        <f>SUM(C16:D16)</f>
        <v>117818.09000000003</v>
      </c>
      <c r="F16" s="25"/>
      <c r="G16" s="25"/>
      <c r="H16" s="63">
        <f>F16+G16</f>
        <v>0</v>
      </c>
      <c r="I16" s="25">
        <f>'[2]TDSheet'!$G$17+'[2]TDSheet'!$H$17</f>
        <v>62411.299999999996</v>
      </c>
      <c r="J16" s="26"/>
      <c r="K16" s="63">
        <f>I16+J16</f>
        <v>62411.299999999996</v>
      </c>
      <c r="L16" s="25">
        <f>C16+F16-I16</f>
        <v>55406.79000000003</v>
      </c>
      <c r="M16" s="25">
        <f t="shared" si="0"/>
        <v>0</v>
      </c>
      <c r="N16" s="61">
        <f>L16+M16</f>
        <v>55406.79000000003</v>
      </c>
      <c r="O16" s="56"/>
    </row>
    <row r="17" spans="1:15" ht="12.75">
      <c r="A17" s="39" t="s">
        <v>16</v>
      </c>
      <c r="B17" s="67"/>
      <c r="C17" s="25">
        <v>6317.210000000006</v>
      </c>
      <c r="D17" s="25"/>
      <c r="E17" s="61">
        <f>SUM(C17:D17)</f>
        <v>6317.210000000006</v>
      </c>
      <c r="F17" s="40">
        <f>'[1]TDSheet'!$G$22+'[3]TDSheet'!$G$18</f>
        <v>35897.58</v>
      </c>
      <c r="G17" s="25"/>
      <c r="H17" s="63">
        <f aca="true" t="shared" si="1" ref="H17:H27">F17+G17</f>
        <v>35897.58</v>
      </c>
      <c r="I17" s="25">
        <f>'[2]TDSheet'!$K$17</f>
        <v>33099.29</v>
      </c>
      <c r="J17" s="26"/>
      <c r="K17" s="63">
        <f aca="true" t="shared" si="2" ref="K17:K27">I17+J17</f>
        <v>33099.29</v>
      </c>
      <c r="L17" s="25">
        <f>C17+F17-I17</f>
        <v>9115.500000000007</v>
      </c>
      <c r="M17" s="25">
        <f t="shared" si="0"/>
        <v>0</v>
      </c>
      <c r="N17" s="61">
        <f>L17+M17</f>
        <v>9115.500000000007</v>
      </c>
      <c r="O17" s="56">
        <v>35436.5</v>
      </c>
    </row>
    <row r="18" spans="1:15" ht="24">
      <c r="A18" s="38" t="s">
        <v>13</v>
      </c>
      <c r="B18" s="67"/>
      <c r="C18" s="25">
        <v>58917.72000000003</v>
      </c>
      <c r="D18" s="25"/>
      <c r="E18" s="61">
        <f aca="true" t="shared" si="3" ref="E18:E27">SUM(C18:D18)</f>
        <v>58917.72000000003</v>
      </c>
      <c r="F18" s="25">
        <f>'[1]TDSheet'!$J$22+'[4]TDSheet'!$G$20</f>
        <v>296154.31</v>
      </c>
      <c r="G18" s="25"/>
      <c r="H18" s="63">
        <f t="shared" si="1"/>
        <v>296154.31</v>
      </c>
      <c r="I18" s="25">
        <f>'[2]TDSheet'!$P$17</f>
        <v>279759.9</v>
      </c>
      <c r="J18" s="26"/>
      <c r="K18" s="63">
        <f t="shared" si="2"/>
        <v>279759.9</v>
      </c>
      <c r="L18" s="25">
        <f aca="true" t="shared" si="4" ref="L18:M27">C18+F18-I18</f>
        <v>75312.13</v>
      </c>
      <c r="M18" s="25">
        <f t="shared" si="0"/>
        <v>0</v>
      </c>
      <c r="N18" s="61">
        <f>L18+M18</f>
        <v>75312.13</v>
      </c>
      <c r="O18" s="56">
        <v>234670.33</v>
      </c>
    </row>
    <row r="19" spans="1:15" ht="24" outlineLevel="1">
      <c r="A19" s="38" t="s">
        <v>15</v>
      </c>
      <c r="B19" s="67"/>
      <c r="C19" s="25">
        <v>-1358.17</v>
      </c>
      <c r="D19" s="25"/>
      <c r="E19" s="61">
        <f t="shared" si="3"/>
        <v>-1358.17</v>
      </c>
      <c r="F19" s="25"/>
      <c r="G19" s="25"/>
      <c r="H19" s="63">
        <f t="shared" si="1"/>
        <v>0</v>
      </c>
      <c r="I19" s="25"/>
      <c r="J19" s="26"/>
      <c r="K19" s="63">
        <f t="shared" si="2"/>
        <v>0</v>
      </c>
      <c r="L19" s="25">
        <f t="shared" si="4"/>
        <v>-1358.17</v>
      </c>
      <c r="M19" s="25">
        <f t="shared" si="0"/>
        <v>0</v>
      </c>
      <c r="N19" s="61">
        <f aca="true" t="shared" si="5" ref="N19:N27">L19+M19</f>
        <v>-1358.17</v>
      </c>
      <c r="O19" s="56"/>
    </row>
    <row r="20" spans="1:15" ht="41.25" customHeight="1">
      <c r="A20" s="38" t="s">
        <v>8</v>
      </c>
      <c r="B20" s="67"/>
      <c r="C20" s="25">
        <v>184127.65000000014</v>
      </c>
      <c r="D20" s="25">
        <v>533.9899999999998</v>
      </c>
      <c r="E20" s="61">
        <f t="shared" si="3"/>
        <v>184661.64000000013</v>
      </c>
      <c r="F20" s="25">
        <f>'[1]TDSheet'!$H$22</f>
        <v>980711.12</v>
      </c>
      <c r="G20" s="25">
        <f>'[17]начисление НЖП'!$B$18+'[17]начисление НЖП'!$K$18</f>
        <v>23744.525927535477</v>
      </c>
      <c r="H20" s="63">
        <f t="shared" si="1"/>
        <v>1004455.6459275355</v>
      </c>
      <c r="I20" s="25">
        <f>'[2]TDSheet'!$N$17+'[2]TDSheet'!$D$17+'[2]TDSheet'!$E$17</f>
        <v>923130.03</v>
      </c>
      <c r="J20" s="26">
        <f>'[17]начисление НЖП'!$C$18+'[17]начисление НЖП'!$L$18</f>
        <v>22220.95518366024</v>
      </c>
      <c r="K20" s="63">
        <f t="shared" si="2"/>
        <v>945350.9851836603</v>
      </c>
      <c r="L20" s="25">
        <f t="shared" si="4"/>
        <v>241708.74</v>
      </c>
      <c r="M20" s="25">
        <f t="shared" si="0"/>
        <v>2057.560743875234</v>
      </c>
      <c r="N20" s="61">
        <f t="shared" si="5"/>
        <v>243766.3007438752</v>
      </c>
      <c r="O20" s="56">
        <f>1720653.98-O14-O16-O17-O18-O25-O21</f>
        <v>1442504.2</v>
      </c>
    </row>
    <row r="21" spans="1:15" ht="12.75">
      <c r="A21" s="38" t="s">
        <v>10</v>
      </c>
      <c r="B21" s="67"/>
      <c r="C21" s="25">
        <v>10261.810000000001</v>
      </c>
      <c r="D21" s="25"/>
      <c r="E21" s="61">
        <f t="shared" si="3"/>
        <v>10261.810000000001</v>
      </c>
      <c r="F21" s="25"/>
      <c r="G21" s="25">
        <f>'[10]коммунНЖП'!$E$52</f>
        <v>6231.89</v>
      </c>
      <c r="H21" s="63">
        <f t="shared" si="1"/>
        <v>6231.89</v>
      </c>
      <c r="I21" s="25">
        <f>'[2]TDSheet'!$Q$17</f>
        <v>233.52</v>
      </c>
      <c r="J21" s="26">
        <f>'[10]коммунНЖП'!$F$52</f>
        <v>3499.68</v>
      </c>
      <c r="K21" s="63">
        <f t="shared" si="2"/>
        <v>3733.2</v>
      </c>
      <c r="L21" s="25">
        <f t="shared" si="4"/>
        <v>10028.29</v>
      </c>
      <c r="M21" s="25">
        <f t="shared" si="0"/>
        <v>2732.2100000000005</v>
      </c>
      <c r="N21" s="61">
        <f t="shared" si="5"/>
        <v>12760.500000000002</v>
      </c>
      <c r="O21" s="56">
        <v>8042.95</v>
      </c>
    </row>
    <row r="22" spans="1:15" ht="48" customHeight="1" hidden="1" outlineLevel="1">
      <c r="A22" s="38" t="s">
        <v>19</v>
      </c>
      <c r="B22" s="67"/>
      <c r="C22" s="25">
        <v>0</v>
      </c>
      <c r="D22" s="25"/>
      <c r="E22" s="61">
        <f t="shared" si="3"/>
        <v>0</v>
      </c>
      <c r="F22" s="25"/>
      <c r="G22" s="25"/>
      <c r="H22" s="63">
        <f t="shared" si="1"/>
        <v>0</v>
      </c>
      <c r="I22" s="25"/>
      <c r="J22" s="26"/>
      <c r="K22" s="63">
        <f t="shared" si="2"/>
        <v>0</v>
      </c>
      <c r="L22" s="25">
        <f t="shared" si="4"/>
        <v>0</v>
      </c>
      <c r="M22" s="25">
        <f t="shared" si="0"/>
        <v>0</v>
      </c>
      <c r="N22" s="61">
        <f t="shared" si="5"/>
        <v>0</v>
      </c>
      <c r="O22" s="56"/>
    </row>
    <row r="23" spans="1:15" ht="48" customHeight="1" hidden="1" outlineLevel="1">
      <c r="A23" s="38" t="s">
        <v>17</v>
      </c>
      <c r="B23" s="67"/>
      <c r="C23" s="25">
        <v>0</v>
      </c>
      <c r="D23" s="25"/>
      <c r="E23" s="61">
        <f t="shared" si="3"/>
        <v>0</v>
      </c>
      <c r="F23" s="25"/>
      <c r="G23" s="25"/>
      <c r="H23" s="63">
        <f t="shared" si="1"/>
        <v>0</v>
      </c>
      <c r="I23" s="25"/>
      <c r="J23" s="26"/>
      <c r="K23" s="63">
        <f t="shared" si="2"/>
        <v>0</v>
      </c>
      <c r="L23" s="25">
        <f t="shared" si="4"/>
        <v>0</v>
      </c>
      <c r="M23" s="25">
        <f t="shared" si="0"/>
        <v>0</v>
      </c>
      <c r="N23" s="61">
        <f t="shared" si="5"/>
        <v>0</v>
      </c>
      <c r="O23" s="56"/>
    </row>
    <row r="24" spans="1:15" ht="24" collapsed="1">
      <c r="A24" s="38" t="s">
        <v>25</v>
      </c>
      <c r="B24" s="67"/>
      <c r="C24" s="25">
        <v>2200.04</v>
      </c>
      <c r="D24" s="25"/>
      <c r="E24" s="61">
        <f t="shared" si="3"/>
        <v>2200.04</v>
      </c>
      <c r="F24" s="25">
        <f>'[1]TDSheet'!$L$22</f>
        <v>16705.12</v>
      </c>
      <c r="G24" s="25"/>
      <c r="H24" s="63">
        <f t="shared" si="1"/>
        <v>16705.12</v>
      </c>
      <c r="I24" s="25">
        <f>'[2]TDSheet'!$S$17</f>
        <v>15406.76</v>
      </c>
      <c r="J24" s="26"/>
      <c r="K24" s="63">
        <f t="shared" si="2"/>
        <v>15406.76</v>
      </c>
      <c r="L24" s="25">
        <f t="shared" si="4"/>
        <v>3498.3999999999996</v>
      </c>
      <c r="M24" s="25">
        <f t="shared" si="0"/>
        <v>0</v>
      </c>
      <c r="N24" s="61">
        <f t="shared" si="5"/>
        <v>3498.3999999999996</v>
      </c>
      <c r="O24" s="56"/>
    </row>
    <row r="25" spans="1:15" ht="12.75">
      <c r="A25" s="38" t="s">
        <v>18</v>
      </c>
      <c r="B25" s="67"/>
      <c r="C25" s="25">
        <v>1500</v>
      </c>
      <c r="D25" s="25"/>
      <c r="E25" s="61">
        <f t="shared" si="3"/>
        <v>1500</v>
      </c>
      <c r="F25" s="25">
        <f>'[1]TDSheet'!$F$22</f>
        <v>0</v>
      </c>
      <c r="G25" s="25"/>
      <c r="H25" s="63">
        <f t="shared" si="1"/>
        <v>0</v>
      </c>
      <c r="I25" s="25">
        <f>'[2]TDSheet'!$I$17</f>
        <v>0</v>
      </c>
      <c r="J25" s="26"/>
      <c r="K25" s="63">
        <f t="shared" si="2"/>
        <v>0</v>
      </c>
      <c r="L25" s="25">
        <f t="shared" si="4"/>
        <v>1500</v>
      </c>
      <c r="M25" s="25">
        <f t="shared" si="4"/>
        <v>0</v>
      </c>
      <c r="N25" s="61">
        <f t="shared" si="5"/>
        <v>1500</v>
      </c>
      <c r="O25" s="56">
        <v>0</v>
      </c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/>
      <c r="M26" s="25"/>
      <c r="N26" s="61"/>
      <c r="O26" s="56"/>
    </row>
    <row r="27" spans="1:15" ht="24" customHeight="1" hidden="1" outlineLevel="1">
      <c r="A27" s="38" t="s">
        <v>11</v>
      </c>
      <c r="B27" s="67"/>
      <c r="C27" s="25"/>
      <c r="D27" s="25"/>
      <c r="E27" s="61">
        <f t="shared" si="3"/>
        <v>0</v>
      </c>
      <c r="F27" s="25"/>
      <c r="G27" s="25"/>
      <c r="H27" s="63">
        <f t="shared" si="1"/>
        <v>0</v>
      </c>
      <c r="I27" s="25"/>
      <c r="J27" s="26"/>
      <c r="K27" s="63">
        <f t="shared" si="2"/>
        <v>0</v>
      </c>
      <c r="L27" s="25">
        <f t="shared" si="4"/>
        <v>0</v>
      </c>
      <c r="M27" s="25"/>
      <c r="N27" s="61">
        <f t="shared" si="5"/>
        <v>0</v>
      </c>
      <c r="O27" s="56"/>
    </row>
    <row r="28" spans="1:15" ht="24" customHeight="1" collapsed="1">
      <c r="A28" s="41" t="s">
        <v>12</v>
      </c>
      <c r="B28" s="68"/>
      <c r="C28" s="42">
        <f>SUM(C14:C27)</f>
        <v>379784.3500000002</v>
      </c>
      <c r="D28" s="42">
        <f>SUM(D14:D27)</f>
        <v>533.9899999999998</v>
      </c>
      <c r="E28" s="62">
        <f>SUM(C28:D28)</f>
        <v>380318.3400000002</v>
      </c>
      <c r="F28" s="43">
        <f>SUM(F14:F27)</f>
        <v>1329468.1300000001</v>
      </c>
      <c r="G28" s="42">
        <f>SUM(G14:G27)</f>
        <v>29976.415927535476</v>
      </c>
      <c r="H28" s="64">
        <f>F28+G28</f>
        <v>1359444.5459275355</v>
      </c>
      <c r="I28" s="43">
        <f>SUM(I14:I27)</f>
        <v>1314040.8</v>
      </c>
      <c r="J28" s="45">
        <f>SUM(J14:J27)</f>
        <v>25720.63518366024</v>
      </c>
      <c r="K28" s="64">
        <f>I28+J28</f>
        <v>1339761.4351836604</v>
      </c>
      <c r="L28" s="46">
        <f>SUM(L14:L27)</f>
        <v>395211.68</v>
      </c>
      <c r="M28" s="44">
        <f>SUM(M14:M27)</f>
        <v>4789.770743875235</v>
      </c>
      <c r="N28" s="62">
        <f>L28+M28</f>
        <v>400001.45074387523</v>
      </c>
      <c r="O28" s="57">
        <f>SUM(O14:O27)</f>
        <v>1720653.9799999997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2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74"/>
      <c r="L30" s="74"/>
      <c r="M30" s="84"/>
      <c r="N30" s="84"/>
      <c r="O30" s="84"/>
      <c r="P30" s="75"/>
      <c r="Q30" s="75"/>
      <c r="R30" s="75"/>
      <c r="S30" s="75"/>
      <c r="T30" s="75"/>
      <c r="U30" s="75"/>
      <c r="V30" s="75"/>
      <c r="W30" s="74"/>
      <c r="X30" s="74"/>
      <c r="Y30" s="74"/>
    </row>
    <row r="31" spans="1:25" ht="12.75">
      <c r="A31" s="54" t="s">
        <v>34</v>
      </c>
      <c r="B31" s="50"/>
      <c r="C31" s="50"/>
      <c r="D31" s="50"/>
      <c r="E31" s="50"/>
      <c r="F31" s="55">
        <f>SUM(F32:F40)</f>
        <v>709451.4600000001</v>
      </c>
      <c r="G31" s="12"/>
      <c r="H31" s="12"/>
      <c r="I31" s="12"/>
      <c r="J31" s="12"/>
      <c r="K31" s="76"/>
      <c r="L31" s="77"/>
      <c r="M31" s="77"/>
      <c r="N31" s="77"/>
      <c r="O31" s="77"/>
      <c r="P31" s="78"/>
      <c r="Q31" s="77"/>
      <c r="R31" s="78"/>
      <c r="S31" s="78"/>
      <c r="T31" s="77"/>
      <c r="U31" s="77"/>
      <c r="V31" s="77"/>
      <c r="W31" s="78"/>
      <c r="X31" s="78"/>
      <c r="Y31" s="77"/>
    </row>
    <row r="32" spans="1:25" ht="12.75">
      <c r="A32" s="52" t="s">
        <v>39</v>
      </c>
      <c r="B32" s="12"/>
      <c r="C32" s="12"/>
      <c r="D32" s="12"/>
      <c r="E32" s="12"/>
      <c r="F32" s="53">
        <v>550.2</v>
      </c>
      <c r="G32" s="12"/>
      <c r="H32" s="12"/>
      <c r="I32" s="12"/>
      <c r="J32" s="12"/>
      <c r="K32" s="79"/>
      <c r="L32" s="80"/>
      <c r="M32" s="80"/>
      <c r="N32" s="80"/>
      <c r="O32" s="80"/>
      <c r="P32" s="82"/>
      <c r="Q32" s="81"/>
      <c r="R32" s="82"/>
      <c r="S32" s="82"/>
      <c r="T32" s="80"/>
      <c r="U32" s="82"/>
      <c r="V32" s="80"/>
      <c r="W32" s="83"/>
      <c r="X32" s="83"/>
      <c r="Y32" s="80"/>
    </row>
    <row r="33" spans="1:15" ht="12.75">
      <c r="A33" s="52" t="s">
        <v>35</v>
      </c>
      <c r="B33" s="12"/>
      <c r="C33" s="12"/>
      <c r="D33" s="12"/>
      <c r="E33" s="12"/>
      <c r="F33" s="53">
        <v>340.71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42.11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699239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9269.4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10.04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2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76"/>
      <c r="L41" s="77"/>
      <c r="M41" s="77"/>
      <c r="N41" s="77"/>
      <c r="O41" s="77"/>
      <c r="P41" s="78"/>
      <c r="Q41" s="77"/>
      <c r="R41" s="78"/>
      <c r="S41" s="78"/>
      <c r="T41" s="77"/>
      <c r="U41" s="77"/>
      <c r="V41" s="77"/>
      <c r="W41" s="78"/>
      <c r="X41" s="78"/>
      <c r="Y41" s="77"/>
    </row>
    <row r="42" spans="1:2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76"/>
      <c r="L42" s="77"/>
      <c r="M42" s="77"/>
      <c r="N42" s="77"/>
      <c r="O42" s="77"/>
      <c r="P42" s="78"/>
      <c r="Q42" s="77"/>
      <c r="R42" s="78"/>
      <c r="S42" s="78"/>
      <c r="T42" s="77"/>
      <c r="U42" s="77"/>
      <c r="V42" s="77"/>
      <c r="W42" s="78"/>
      <c r="X42" s="78"/>
      <c r="Y42" s="77"/>
    </row>
    <row r="43" spans="1:2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76"/>
      <c r="L43" s="77"/>
      <c r="M43" s="77"/>
      <c r="N43" s="77"/>
      <c r="O43" s="77"/>
      <c r="P43" s="78"/>
      <c r="Q43" s="77"/>
      <c r="R43" s="78"/>
      <c r="S43" s="78"/>
      <c r="T43" s="77"/>
      <c r="U43" s="77"/>
      <c r="V43" s="77"/>
      <c r="W43" s="78"/>
      <c r="X43" s="78"/>
      <c r="Y43" s="77"/>
    </row>
    <row r="44" spans="1:25" ht="13.5" customHeight="1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76"/>
      <c r="L44" s="77"/>
      <c r="M44" s="77"/>
      <c r="N44" s="77"/>
      <c r="O44" s="77"/>
      <c r="P44" s="78"/>
      <c r="Q44" s="77"/>
      <c r="R44" s="78"/>
      <c r="S44" s="78"/>
      <c r="T44" s="77"/>
      <c r="U44" s="77"/>
      <c r="V44" s="77"/>
      <c r="W44" s="78"/>
      <c r="X44" s="78"/>
      <c r="Y44" s="77"/>
    </row>
    <row r="45" ht="12.75" collapsed="1"/>
  </sheetData>
  <sheetProtection/>
  <mergeCells count="17">
    <mergeCell ref="O12:O13"/>
    <mergeCell ref="A10:K10"/>
    <mergeCell ref="M10:N10"/>
    <mergeCell ref="A12:A13"/>
    <mergeCell ref="C12:E12"/>
    <mergeCell ref="F12:H12"/>
    <mergeCell ref="I12:K12"/>
    <mergeCell ref="L12:N12"/>
    <mergeCell ref="B12:B13"/>
    <mergeCell ref="A8:E8"/>
    <mergeCell ref="A9:E9"/>
    <mergeCell ref="A6:D6"/>
    <mergeCell ref="A7:D7"/>
    <mergeCell ref="A1:L1"/>
    <mergeCell ref="A3:H3"/>
    <mergeCell ref="A4:D4"/>
    <mergeCell ref="A5:C5"/>
  </mergeCells>
  <printOptions/>
  <pageMargins left="0.39" right="0.42" top="0.78" bottom="0.22" header="0.36" footer="0.16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">
      <selection activeCell="P12" sqref="P1:P16384"/>
    </sheetView>
  </sheetViews>
  <sheetFormatPr defaultColWidth="9.00390625" defaultRowHeight="12.75" outlineLevelRow="1" outlineLevelCol="1"/>
  <cols>
    <col min="1" max="1" width="26.125" style="0" customWidth="1"/>
    <col min="2" max="2" width="11.875" style="0" hidden="1" customWidth="1" outlineLevel="1"/>
    <col min="3" max="3" width="10.125" style="0" bestFit="1" customWidth="1" collapsed="1"/>
    <col min="4" max="4" width="10.375" style="0" customWidth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60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140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10229.2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1672.6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11901.800000000001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222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1248.6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18222.729999999996</v>
      </c>
      <c r="D17" s="25">
        <v>0</v>
      </c>
      <c r="E17" s="61">
        <f>SUM(C17:D17)</f>
        <v>18222.729999999996</v>
      </c>
      <c r="F17" s="40">
        <f>'[1]TDSheet'!$G$24+'[3]TDSheet'!$G$20</f>
        <v>68546.65</v>
      </c>
      <c r="G17" s="25"/>
      <c r="H17" s="63">
        <f aca="true" t="shared" si="3" ref="H17:H27">F17+G17</f>
        <v>68546.65</v>
      </c>
      <c r="I17" s="25">
        <f>'[2]TDSheet'!$K$15</f>
        <v>68853.86</v>
      </c>
      <c r="J17" s="26"/>
      <c r="K17" s="63">
        <f t="shared" si="0"/>
        <v>68853.86</v>
      </c>
      <c r="L17" s="25">
        <f t="shared" si="1"/>
        <v>17915.51999999999</v>
      </c>
      <c r="M17" s="25">
        <f t="shared" si="1"/>
        <v>0</v>
      </c>
      <c r="N17" s="61">
        <f t="shared" si="2"/>
        <v>17915.51999999999</v>
      </c>
      <c r="O17" s="56">
        <v>67875.83</v>
      </c>
    </row>
    <row r="18" spans="1:15" ht="12.75">
      <c r="A18" s="38" t="s">
        <v>13</v>
      </c>
      <c r="B18" s="67"/>
      <c r="C18" s="25">
        <v>113244.60000000003</v>
      </c>
      <c r="D18" s="25">
        <v>0</v>
      </c>
      <c r="E18" s="61">
        <f aca="true" t="shared" si="4" ref="E18:E27">SUM(C18:D18)</f>
        <v>113244.60000000003</v>
      </c>
      <c r="F18" s="25">
        <f>'[1]TDSheet'!$J$24+'[4]TDSheet'!$G$22</f>
        <v>457562.59</v>
      </c>
      <c r="G18" s="25"/>
      <c r="H18" s="63">
        <f t="shared" si="3"/>
        <v>457562.59</v>
      </c>
      <c r="I18" s="25">
        <f>'[2]TDSheet'!$P$15</f>
        <v>451506.45</v>
      </c>
      <c r="J18" s="26"/>
      <c r="K18" s="63">
        <f t="shared" si="0"/>
        <v>451506.45</v>
      </c>
      <c r="L18" s="25">
        <f t="shared" si="1"/>
        <v>119300.74000000005</v>
      </c>
      <c r="M18" s="25">
        <f t="shared" si="1"/>
        <v>0</v>
      </c>
      <c r="N18" s="61">
        <f t="shared" si="2"/>
        <v>119300.74000000005</v>
      </c>
      <c r="O18" s="56">
        <v>391932.33</v>
      </c>
    </row>
    <row r="19" spans="1:15" ht="12.75">
      <c r="A19" s="38" t="s">
        <v>15</v>
      </c>
      <c r="B19" s="67"/>
      <c r="C19" s="25">
        <v>15887.950000000004</v>
      </c>
      <c r="D19" s="25">
        <v>0</v>
      </c>
      <c r="E19" s="61">
        <f t="shared" si="4"/>
        <v>15887.950000000004</v>
      </c>
      <c r="F19" s="25">
        <f>'[1]TDSheet'!$E$24+'[5]TDSheet'!$G$17</f>
        <v>59623.9</v>
      </c>
      <c r="G19" s="25"/>
      <c r="H19" s="63">
        <f t="shared" si="3"/>
        <v>59623.9</v>
      </c>
      <c r="I19" s="25">
        <f>'[2]TDSheet'!$C$15</f>
        <v>60680.55</v>
      </c>
      <c r="J19" s="26"/>
      <c r="K19" s="63">
        <f t="shared" si="0"/>
        <v>60680.55</v>
      </c>
      <c r="L19" s="25">
        <f t="shared" si="1"/>
        <v>14831.300000000003</v>
      </c>
      <c r="M19" s="25">
        <f t="shared" si="1"/>
        <v>0</v>
      </c>
      <c r="N19" s="61">
        <f t="shared" si="2"/>
        <v>14831.300000000003</v>
      </c>
      <c r="O19" s="56">
        <v>112779.47</v>
      </c>
    </row>
    <row r="20" spans="1:15" ht="24">
      <c r="A20" s="38" t="s">
        <v>8</v>
      </c>
      <c r="B20" s="67"/>
      <c r="C20" s="25">
        <v>606138.8499999996</v>
      </c>
      <c r="D20" s="25">
        <v>60039.49000000005</v>
      </c>
      <c r="E20" s="61">
        <f t="shared" si="4"/>
        <v>666178.3399999996</v>
      </c>
      <c r="F20" s="25">
        <f>'[1]TDSheet'!$H$24</f>
        <v>1513555.88</v>
      </c>
      <c r="G20" s="25">
        <f>'[17]начисление НЖП'!$B$20+'[17]начисление НЖП'!$K$20</f>
        <v>283392.33822700405</v>
      </c>
      <c r="H20" s="63">
        <f t="shared" si="3"/>
        <v>1796948.218227004</v>
      </c>
      <c r="I20" s="25">
        <f>'[2]TDSheet'!$D$15+'[2]TDSheet'!$E$15+'[2]TDSheet'!$L$15+'[2]TDSheet'!$N$15+'[2]TDSheet'!$T$15</f>
        <v>1620634.91</v>
      </c>
      <c r="J20" s="26">
        <f>'[17]начисление НЖП'!$C$20+'[17]начисление НЖП'!$L$20</f>
        <v>282609.12105472304</v>
      </c>
      <c r="K20" s="63">
        <f t="shared" si="0"/>
        <v>1903244.031054723</v>
      </c>
      <c r="L20" s="25">
        <f t="shared" si="1"/>
        <v>499059.8199999996</v>
      </c>
      <c r="M20" s="25">
        <f t="shared" si="1"/>
        <v>60822.70717228105</v>
      </c>
      <c r="N20" s="61">
        <f t="shared" si="2"/>
        <v>559882.5271722807</v>
      </c>
      <c r="O20" s="56">
        <f>3101437.66-O14-O15-O16-O17-O18-O19-O21-O22-O23-O24-O25-O26-O27</f>
        <v>2212826.4</v>
      </c>
    </row>
    <row r="21" spans="1:15" ht="12.75">
      <c r="A21" s="38" t="s">
        <v>10</v>
      </c>
      <c r="B21" s="67"/>
      <c r="C21" s="25">
        <v>9629.68</v>
      </c>
      <c r="D21" s="25">
        <v>67204.91999999995</v>
      </c>
      <c r="E21" s="61">
        <f t="shared" si="4"/>
        <v>76834.59999999995</v>
      </c>
      <c r="F21" s="25"/>
      <c r="G21" s="25">
        <f>'[10]коммунНЖП'!$E$56</f>
        <v>304916.21</v>
      </c>
      <c r="H21" s="63">
        <f t="shared" si="3"/>
        <v>304916.21</v>
      </c>
      <c r="I21" s="25">
        <f>'[2]TDSheet'!$Q$15</f>
        <v>4856.89</v>
      </c>
      <c r="J21" s="26">
        <f>'[10]коммунНЖП'!$F$56</f>
        <v>290213.42</v>
      </c>
      <c r="K21" s="63">
        <f t="shared" si="0"/>
        <v>295070.31</v>
      </c>
      <c r="L21" s="25">
        <f t="shared" si="1"/>
        <v>4772.79</v>
      </c>
      <c r="M21" s="25">
        <f t="shared" si="1"/>
        <v>81907.71000000002</v>
      </c>
      <c r="N21" s="61">
        <f t="shared" si="2"/>
        <v>86680.50000000001</v>
      </c>
      <c r="O21" s="56">
        <v>311401.4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4100.35</v>
      </c>
      <c r="D24" s="25">
        <v>0</v>
      </c>
      <c r="E24" s="61">
        <f t="shared" si="4"/>
        <v>4100.35</v>
      </c>
      <c r="F24" s="25">
        <f>'[1]TDSheet'!$L$24</f>
        <v>25778.55</v>
      </c>
      <c r="G24" s="25"/>
      <c r="H24" s="63">
        <f t="shared" si="3"/>
        <v>25778.55</v>
      </c>
      <c r="I24" s="25">
        <f>'[2]TDSheet'!$S$15</f>
        <v>24682.95</v>
      </c>
      <c r="J24" s="26"/>
      <c r="K24" s="63">
        <f t="shared" si="0"/>
        <v>24682.95</v>
      </c>
      <c r="L24" s="25">
        <f t="shared" si="1"/>
        <v>5195.950000000001</v>
      </c>
      <c r="M24" s="25">
        <f t="shared" si="1"/>
        <v>0</v>
      </c>
      <c r="N24" s="61">
        <f t="shared" si="2"/>
        <v>5195.950000000001</v>
      </c>
      <c r="O24" s="56">
        <v>1622.23</v>
      </c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'[1]TDSheet'!$F$24</f>
        <v>3000</v>
      </c>
      <c r="G25" s="25"/>
      <c r="H25" s="63">
        <f t="shared" si="3"/>
        <v>3000</v>
      </c>
      <c r="I25" s="25">
        <f>'[2]TDSheet'!$I$15</f>
        <v>3000</v>
      </c>
      <c r="J25" s="26"/>
      <c r="K25" s="63">
        <f t="shared" si="0"/>
        <v>3000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>
        <v>3000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767224.1599999997</v>
      </c>
      <c r="D28" s="42">
        <f>SUM(D14:D27)</f>
        <v>127244.41</v>
      </c>
      <c r="E28" s="62">
        <f>SUM(C28:D28)</f>
        <v>894468.5699999997</v>
      </c>
      <c r="F28" s="43">
        <f>SUM(F14:F27)</f>
        <v>2128067.57</v>
      </c>
      <c r="G28" s="42">
        <f>SUM(G14:G27)</f>
        <v>588308.548227004</v>
      </c>
      <c r="H28" s="64">
        <f>F28+G28</f>
        <v>2716376.118227004</v>
      </c>
      <c r="I28" s="43">
        <f>SUM(I14:I27)</f>
        <v>2234215.6100000003</v>
      </c>
      <c r="J28" s="45">
        <f>SUM(J14:J27)</f>
        <v>572822.5410547231</v>
      </c>
      <c r="K28" s="64">
        <f>I28+J28</f>
        <v>2807038.151054723</v>
      </c>
      <c r="L28" s="46">
        <f>SUM(L14:L27)</f>
        <v>661076.1199999996</v>
      </c>
      <c r="M28" s="44">
        <f>SUM(M14:M27)</f>
        <v>142730.41717228107</v>
      </c>
      <c r="N28" s="62">
        <f>L28+M28</f>
        <v>803806.5371722807</v>
      </c>
      <c r="O28" s="57">
        <f>SUM(O14:O27)</f>
        <v>3101437.6599999997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924553.11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463.09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606.57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74.97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895266.88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10475.12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335.73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17.88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17312.87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7">
      <selection activeCell="R12" sqref="R12:R13"/>
    </sheetView>
  </sheetViews>
  <sheetFormatPr defaultColWidth="9.00390625" defaultRowHeight="12.75" outlineLevelRow="1" outlineLevelCol="1"/>
  <cols>
    <col min="1" max="1" width="30.25390625" style="0" customWidth="1"/>
    <col min="2" max="2" width="11.375" style="0" hidden="1" customWidth="1" outlineLevel="1"/>
    <col min="3" max="3" width="9.125" style="0" customWidth="1" collapsed="1"/>
    <col min="6" max="6" width="10.125" style="0" bestFit="1" customWidth="1"/>
    <col min="9" max="9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0" t="s">
        <v>49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24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2431.2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542.5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2973.7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43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260.4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12.75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1734.460000000001</v>
      </c>
      <c r="D17" s="25">
        <v>0</v>
      </c>
      <c r="E17" s="61">
        <f>SUM(C17:D17)</f>
        <v>1734.460000000001</v>
      </c>
      <c r="F17" s="40">
        <f>'[1]TDSheet'!$G$16</f>
        <v>9353.48</v>
      </c>
      <c r="G17" s="25"/>
      <c r="H17" s="63">
        <f aca="true" t="shared" si="3" ref="H17:H27">F17+G17</f>
        <v>9353.48</v>
      </c>
      <c r="I17" s="25">
        <f>'[2]TDSheet'!$K$25</f>
        <v>10151.45</v>
      </c>
      <c r="J17" s="26"/>
      <c r="K17" s="63">
        <f t="shared" si="0"/>
        <v>10151.45</v>
      </c>
      <c r="L17" s="25">
        <f t="shared" si="1"/>
        <v>936.4899999999998</v>
      </c>
      <c r="M17" s="25">
        <f t="shared" si="1"/>
        <v>0</v>
      </c>
      <c r="N17" s="61">
        <f t="shared" si="2"/>
        <v>936.4899999999998</v>
      </c>
      <c r="O17" s="56">
        <v>9099.62</v>
      </c>
    </row>
    <row r="18" spans="1:15" ht="12.75" customHeight="1" hidden="1" outlineLevel="1">
      <c r="A18" s="38" t="s">
        <v>13</v>
      </c>
      <c r="B18" s="67"/>
      <c r="C18" s="25">
        <v>0</v>
      </c>
      <c r="D18" s="25">
        <v>0</v>
      </c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12.75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24" collapsed="1">
      <c r="A20" s="38" t="s">
        <v>8</v>
      </c>
      <c r="B20" s="67"/>
      <c r="C20" s="25">
        <v>45321.52000000002</v>
      </c>
      <c r="D20" s="25">
        <v>9540.820000000007</v>
      </c>
      <c r="E20" s="61">
        <f t="shared" si="4"/>
        <v>54862.340000000026</v>
      </c>
      <c r="F20" s="25">
        <f>'[1]TDSheet'!$H$16</f>
        <v>359720.76</v>
      </c>
      <c r="G20" s="25">
        <f>'[17]начисление НЖП'!$B$12+'[17]начисление НЖП'!$K$12</f>
        <v>91221.70080035304</v>
      </c>
      <c r="H20" s="63">
        <f t="shared" si="3"/>
        <v>450942.46080035303</v>
      </c>
      <c r="I20" s="25">
        <f>'[2]TDSheet'!$N$25</f>
        <v>368837.2</v>
      </c>
      <c r="J20" s="26">
        <f>'[17]начисление НЖП'!$C$12+'[17]начисление НЖП'!$L$12</f>
        <v>92309.41282154211</v>
      </c>
      <c r="K20" s="63">
        <f t="shared" si="0"/>
        <v>461146.61282154213</v>
      </c>
      <c r="L20" s="25">
        <f t="shared" si="1"/>
        <v>36205.080000000016</v>
      </c>
      <c r="M20" s="25">
        <f t="shared" si="1"/>
        <v>8453.107978810935</v>
      </c>
      <c r="N20" s="61">
        <f t="shared" si="2"/>
        <v>44658.18797881095</v>
      </c>
      <c r="O20" s="56">
        <f>605792.02-O14-O15-O16-O17-O18-O19-O21-O22-O23-O24-O25-O26-O27</f>
        <v>521315.4</v>
      </c>
    </row>
    <row r="21" spans="1:15" ht="12.75">
      <c r="A21" s="38" t="s">
        <v>10</v>
      </c>
      <c r="B21" s="67"/>
      <c r="C21" s="25">
        <v>0</v>
      </c>
      <c r="D21" s="25">
        <v>17298.329999999987</v>
      </c>
      <c r="E21" s="61">
        <f t="shared" si="4"/>
        <v>17298.329999999987</v>
      </c>
      <c r="F21" s="25"/>
      <c r="G21" s="25">
        <f>'[17]коммунНЖП'!$E$135</f>
        <v>75505.48000000001</v>
      </c>
      <c r="H21" s="63">
        <f t="shared" si="3"/>
        <v>75505.48000000001</v>
      </c>
      <c r="I21" s="25"/>
      <c r="J21" s="26">
        <f>'[17]коммунНЖП'!$F$135</f>
        <v>72358.36</v>
      </c>
      <c r="K21" s="63">
        <f t="shared" si="0"/>
        <v>72358.36</v>
      </c>
      <c r="L21" s="25">
        <f t="shared" si="1"/>
        <v>0</v>
      </c>
      <c r="M21" s="25">
        <f t="shared" si="1"/>
        <v>20445.449999999997</v>
      </c>
      <c r="N21" s="61">
        <f t="shared" si="2"/>
        <v>20445.449999999997</v>
      </c>
      <c r="O21" s="56">
        <v>75377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773.9700000000003</v>
      </c>
      <c r="D24" s="25">
        <v>0</v>
      </c>
      <c r="E24" s="61">
        <f t="shared" si="4"/>
        <v>773.9700000000003</v>
      </c>
      <c r="F24" s="25">
        <f>'[1]TDSheet'!$L$16</f>
        <v>6126.84</v>
      </c>
      <c r="G24" s="25"/>
      <c r="H24" s="63">
        <f t="shared" si="3"/>
        <v>6126.84</v>
      </c>
      <c r="I24" s="25">
        <f>'[2]TDSheet'!$S$25</f>
        <v>6284.2</v>
      </c>
      <c r="J24" s="26"/>
      <c r="K24" s="63">
        <f t="shared" si="0"/>
        <v>6284.2</v>
      </c>
      <c r="L24" s="25">
        <f t="shared" si="1"/>
        <v>616.6100000000006</v>
      </c>
      <c r="M24" s="25">
        <f t="shared" si="1"/>
        <v>0</v>
      </c>
      <c r="N24" s="61">
        <f t="shared" si="2"/>
        <v>616.6100000000006</v>
      </c>
      <c r="O24" s="56"/>
    </row>
    <row r="25" spans="1:15" ht="12.75">
      <c r="A25" s="38" t="s">
        <v>18</v>
      </c>
      <c r="B25" s="67"/>
      <c r="C25" s="25"/>
      <c r="D25" s="25"/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47829.95000000002</v>
      </c>
      <c r="D28" s="42">
        <f>SUM(D14:D27)</f>
        <v>26839.149999999994</v>
      </c>
      <c r="E28" s="62">
        <f>SUM(C28:D28)</f>
        <v>74669.1</v>
      </c>
      <c r="F28" s="43">
        <f>SUM(F14:F27)</f>
        <v>375201.08</v>
      </c>
      <c r="G28" s="42">
        <f>SUM(G14:G27)</f>
        <v>166727.18080035306</v>
      </c>
      <c r="H28" s="64">
        <f>F28+G28</f>
        <v>541928.260800353</v>
      </c>
      <c r="I28" s="43">
        <f>SUM(I14:I27)</f>
        <v>385272.85000000003</v>
      </c>
      <c r="J28" s="45">
        <f>SUM(J14:J27)</f>
        <v>164667.7728215421</v>
      </c>
      <c r="K28" s="64">
        <f>I28+J28</f>
        <v>549940.6228215422</v>
      </c>
      <c r="L28" s="46">
        <f>SUM(L14:L27)</f>
        <v>37758.180000000015</v>
      </c>
      <c r="M28" s="44">
        <f>SUM(M14:M27)</f>
        <v>28898.55797881093</v>
      </c>
      <c r="N28" s="62">
        <f>L28+M28</f>
        <v>66656.73797881094</v>
      </c>
      <c r="O28" s="57">
        <f>SUM(O14:O27)</f>
        <v>605792.02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0" t="s">
        <v>34</v>
      </c>
      <c r="B31" s="50"/>
      <c r="C31" s="50"/>
      <c r="D31" s="50"/>
      <c r="E31" s="50"/>
      <c r="F31" s="50">
        <f>SUM(F32:F40)</f>
        <v>530.36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53">
        <v>8.94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16.74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404.16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100.52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12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B12:B13"/>
    <mergeCell ref="O12:O13"/>
    <mergeCell ref="A1:L1"/>
    <mergeCell ref="A3:H3"/>
    <mergeCell ref="A4:D4"/>
    <mergeCell ref="A5:C5"/>
    <mergeCell ref="A6:D6"/>
    <mergeCell ref="A7:D7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">
      <selection activeCell="P11" sqref="P1:P16384"/>
    </sheetView>
  </sheetViews>
  <sheetFormatPr defaultColWidth="9.00390625" defaultRowHeight="12.75" outlineLevelRow="1" outlineLevelCol="1"/>
  <cols>
    <col min="1" max="1" width="19.875" style="0" customWidth="1"/>
    <col min="2" max="2" width="12.1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39" t="s">
        <v>59</v>
      </c>
      <c r="B3" s="139"/>
      <c r="C3" s="140"/>
      <c r="D3" s="140"/>
      <c r="E3" s="140"/>
      <c r="F3" s="141"/>
      <c r="G3" s="141"/>
      <c r="H3" s="141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139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8240.6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1765.6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10006.2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242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928.8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ollapsed="1">
      <c r="A16" s="39" t="s">
        <v>9</v>
      </c>
      <c r="B16" s="67"/>
      <c r="C16" s="25">
        <v>108884.98999999999</v>
      </c>
      <c r="D16" s="25">
        <v>0</v>
      </c>
      <c r="E16" s="61">
        <f>SUM(C16:D16)</f>
        <v>108884.98999999999</v>
      </c>
      <c r="F16" s="25">
        <f>'[12]TDSheet'!$E$12</f>
        <v>-707.13</v>
      </c>
      <c r="G16" s="25"/>
      <c r="H16" s="63">
        <f>F16+G16</f>
        <v>-707.13</v>
      </c>
      <c r="I16" s="25">
        <f>'[2]TDSheet'!$H$35+'[2]TDSheet'!$G$35</f>
        <v>86050.48000000001</v>
      </c>
      <c r="J16" s="26"/>
      <c r="K16" s="63">
        <f t="shared" si="0"/>
        <v>86050.48000000001</v>
      </c>
      <c r="L16" s="25">
        <f t="shared" si="1"/>
        <v>22127.379999999976</v>
      </c>
      <c r="M16" s="25">
        <f t="shared" si="1"/>
        <v>0</v>
      </c>
      <c r="N16" s="61">
        <f t="shared" si="2"/>
        <v>22127.379999999976</v>
      </c>
      <c r="O16" s="56"/>
    </row>
    <row r="17" spans="1:15" ht="12.75">
      <c r="A17" s="39" t="s">
        <v>16</v>
      </c>
      <c r="B17" s="67"/>
      <c r="C17" s="25">
        <v>13196.800000000003</v>
      </c>
      <c r="D17" s="25">
        <v>0</v>
      </c>
      <c r="E17" s="61">
        <f>SUM(C17:D17)</f>
        <v>13196.800000000003</v>
      </c>
      <c r="F17" s="40">
        <f>'[1]TDSheet'!$G$25+'[3]TDSheet'!$G$21</f>
        <v>80854.97</v>
      </c>
      <c r="G17" s="25"/>
      <c r="H17" s="63">
        <f aca="true" t="shared" si="3" ref="H17:H27">F17+G17</f>
        <v>80854.97</v>
      </c>
      <c r="I17" s="25">
        <f>'[2]TDSheet'!$K$35</f>
        <v>81865.98</v>
      </c>
      <c r="J17" s="26"/>
      <c r="K17" s="63">
        <f t="shared" si="0"/>
        <v>81865.98</v>
      </c>
      <c r="L17" s="25">
        <f t="shared" si="1"/>
        <v>12185.790000000008</v>
      </c>
      <c r="M17" s="25">
        <f t="shared" si="1"/>
        <v>0</v>
      </c>
      <c r="N17" s="61">
        <f t="shared" si="2"/>
        <v>12185.790000000008</v>
      </c>
      <c r="O17" s="56">
        <v>77718.25</v>
      </c>
    </row>
    <row r="18" spans="1:15" ht="24">
      <c r="A18" s="38" t="s">
        <v>13</v>
      </c>
      <c r="B18" s="67"/>
      <c r="C18" s="25">
        <v>49569.649999999994</v>
      </c>
      <c r="D18" s="25">
        <v>0</v>
      </c>
      <c r="E18" s="61">
        <f aca="true" t="shared" si="4" ref="E18:E27">SUM(C18:D18)</f>
        <v>49569.649999999994</v>
      </c>
      <c r="F18" s="25">
        <f>'[1]TDSheet'!$J$25+'[4]TDSheet'!$G$23</f>
        <v>363076.2</v>
      </c>
      <c r="G18" s="25"/>
      <c r="H18" s="63">
        <f t="shared" si="3"/>
        <v>363076.2</v>
      </c>
      <c r="I18" s="25">
        <f>'[2]TDSheet'!$P$35</f>
        <v>357518.95</v>
      </c>
      <c r="J18" s="26"/>
      <c r="K18" s="63">
        <f t="shared" si="0"/>
        <v>357518.95</v>
      </c>
      <c r="L18" s="25">
        <f t="shared" si="1"/>
        <v>55126.899999999965</v>
      </c>
      <c r="M18" s="25">
        <f t="shared" si="1"/>
        <v>0</v>
      </c>
      <c r="N18" s="61">
        <f t="shared" si="2"/>
        <v>55126.899999999965</v>
      </c>
      <c r="O18" s="56">
        <v>309061.99</v>
      </c>
    </row>
    <row r="19" spans="1:15" ht="24">
      <c r="A19" s="38" t="s">
        <v>15</v>
      </c>
      <c r="B19" s="67"/>
      <c r="C19" s="25">
        <v>5900.789999999994</v>
      </c>
      <c r="D19" s="25">
        <v>0</v>
      </c>
      <c r="E19" s="61">
        <f t="shared" si="4"/>
        <v>5900.789999999994</v>
      </c>
      <c r="F19" s="25">
        <f>'[1]TDSheet'!$E$25+'[5]TDSheet'!$G$18</f>
        <v>37702.200000000004</v>
      </c>
      <c r="G19" s="25"/>
      <c r="H19" s="63">
        <f t="shared" si="3"/>
        <v>37702.200000000004</v>
      </c>
      <c r="I19" s="25">
        <f>'[2]TDSheet'!$C$35</f>
        <v>37745.93</v>
      </c>
      <c r="J19" s="26"/>
      <c r="K19" s="63">
        <f t="shared" si="0"/>
        <v>37745.93</v>
      </c>
      <c r="L19" s="25">
        <f t="shared" si="1"/>
        <v>5857.059999999998</v>
      </c>
      <c r="M19" s="25">
        <f t="shared" si="1"/>
        <v>0</v>
      </c>
      <c r="N19" s="61">
        <f t="shared" si="2"/>
        <v>5857.059999999998</v>
      </c>
      <c r="O19" s="56">
        <v>88795.63</v>
      </c>
    </row>
    <row r="20" spans="1:15" ht="36">
      <c r="A20" s="38" t="s">
        <v>8</v>
      </c>
      <c r="B20" s="67"/>
      <c r="C20" s="25">
        <v>144970.76</v>
      </c>
      <c r="D20" s="25">
        <v>88867.69</v>
      </c>
      <c r="E20" s="61">
        <f t="shared" si="4"/>
        <v>233838.45</v>
      </c>
      <c r="F20" s="25">
        <f>'[1]TDSheet'!$H$25+'[6]TDSheet'!$G$25</f>
        <v>1219280.16</v>
      </c>
      <c r="G20" s="25">
        <f>'[17]начисление НЖП'!$B$21+'[17]начисление НЖП'!$K$21</f>
        <v>355240.2532967322</v>
      </c>
      <c r="H20" s="63">
        <f t="shared" si="3"/>
        <v>1574520.4132967321</v>
      </c>
      <c r="I20" s="25">
        <f>'[2]TDSheet'!$D$35+'[2]TDSheet'!$E$35+'[2]TDSheet'!$N$35</f>
        <v>1218919.79</v>
      </c>
      <c r="J20" s="26">
        <f>'[17]начисление НЖП'!$C$21+'[17]начисление НЖП'!$L$21</f>
        <v>385294.2417301391</v>
      </c>
      <c r="K20" s="63">
        <f t="shared" si="0"/>
        <v>1604214.0317301392</v>
      </c>
      <c r="L20" s="25">
        <f t="shared" si="1"/>
        <v>145331.1299999999</v>
      </c>
      <c r="M20" s="25">
        <f t="shared" si="1"/>
        <v>58813.70156659308</v>
      </c>
      <c r="N20" s="61">
        <f t="shared" si="2"/>
        <v>204144.83156659297</v>
      </c>
      <c r="O20" s="56">
        <f>2397464.24-O14-O15-O16-O17-O18-O19-O21-O22-O23-O24-O25-O26-O27</f>
        <v>1647345.31</v>
      </c>
    </row>
    <row r="21" spans="1:15" ht="12.75">
      <c r="A21" s="38" t="s">
        <v>10</v>
      </c>
      <c r="B21" s="67"/>
      <c r="C21" s="25">
        <v>2051.5</v>
      </c>
      <c r="D21" s="25">
        <v>59568.01000000001</v>
      </c>
      <c r="E21" s="61">
        <f t="shared" si="4"/>
        <v>61619.51000000001</v>
      </c>
      <c r="F21" s="25"/>
      <c r="G21" s="25">
        <f>'[10]коммунНЖП'!$E$67</f>
        <v>256400.95</v>
      </c>
      <c r="H21" s="63">
        <f t="shared" si="3"/>
        <v>256400.95</v>
      </c>
      <c r="I21" s="25">
        <f>'[2]TDSheet'!$Q$35</f>
        <v>1628.42</v>
      </c>
      <c r="J21" s="26">
        <f>'[10]коммунНЖП'!$F$67</f>
        <v>234185.71</v>
      </c>
      <c r="K21" s="63">
        <f t="shared" si="0"/>
        <v>235814.13</v>
      </c>
      <c r="L21" s="25">
        <f t="shared" si="1"/>
        <v>423.0799999999999</v>
      </c>
      <c r="M21" s="25">
        <f t="shared" si="1"/>
        <v>81783.25000000003</v>
      </c>
      <c r="N21" s="61">
        <f t="shared" si="2"/>
        <v>82206.33000000003</v>
      </c>
      <c r="O21" s="56">
        <v>269543.06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2320.34</v>
      </c>
      <c r="D24" s="25">
        <v>0</v>
      </c>
      <c r="E24" s="61">
        <f t="shared" si="4"/>
        <v>2320.34</v>
      </c>
      <c r="F24" s="25">
        <f>'[1]TDSheet'!$L$25+'[7]TDSheet'!$G$23</f>
        <v>20767.2</v>
      </c>
      <c r="G24" s="25"/>
      <c r="H24" s="63">
        <f t="shared" si="3"/>
        <v>20767.2</v>
      </c>
      <c r="I24" s="25">
        <f>'[2]TDSheet'!$S$35</f>
        <v>20178.74</v>
      </c>
      <c r="J24" s="26"/>
      <c r="K24" s="63">
        <f t="shared" si="0"/>
        <v>20178.74</v>
      </c>
      <c r="L24" s="25">
        <f t="shared" si="1"/>
        <v>2908.7999999999993</v>
      </c>
      <c r="M24" s="25">
        <f t="shared" si="1"/>
        <v>0</v>
      </c>
      <c r="N24" s="61">
        <f t="shared" si="2"/>
        <v>2908.7999999999993</v>
      </c>
      <c r="O24" s="56"/>
    </row>
    <row r="25" spans="1:15" ht="12.75">
      <c r="A25" s="38" t="s">
        <v>18</v>
      </c>
      <c r="B25" s="67"/>
      <c r="C25" s="25">
        <v>2549.1099999999997</v>
      </c>
      <c r="D25" s="25">
        <v>0</v>
      </c>
      <c r="E25" s="61">
        <f t="shared" si="4"/>
        <v>2549.1099999999997</v>
      </c>
      <c r="F25" s="25">
        <f>'[1]TDSheet'!$F$25+'[11]TDSheet'!$G$19</f>
        <v>5000</v>
      </c>
      <c r="G25" s="25"/>
      <c r="H25" s="63">
        <f t="shared" si="3"/>
        <v>5000</v>
      </c>
      <c r="I25" s="25">
        <f>'[2]TDSheet'!$I$35</f>
        <v>5549.11</v>
      </c>
      <c r="J25" s="26"/>
      <c r="K25" s="63">
        <f t="shared" si="0"/>
        <v>5549.11</v>
      </c>
      <c r="L25" s="25">
        <f t="shared" si="1"/>
        <v>2000</v>
      </c>
      <c r="M25" s="25">
        <f t="shared" si="1"/>
        <v>0</v>
      </c>
      <c r="N25" s="61">
        <f t="shared" si="2"/>
        <v>2000</v>
      </c>
      <c r="O25" s="56">
        <v>5000</v>
      </c>
    </row>
    <row r="26" spans="1:15" ht="12.75" customHeight="1" hidden="1" outlineLevel="1">
      <c r="A26" s="38" t="s">
        <v>27</v>
      </c>
      <c r="B26" s="67"/>
      <c r="C26" s="25">
        <v>0</v>
      </c>
      <c r="D26" s="25">
        <v>0</v>
      </c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ollapsed="1">
      <c r="A27" s="38" t="s">
        <v>11</v>
      </c>
      <c r="B27" s="67"/>
      <c r="C27" s="25">
        <v>85.59</v>
      </c>
      <c r="D27" s="25">
        <v>0</v>
      </c>
      <c r="E27" s="61">
        <f t="shared" si="4"/>
        <v>85.59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85.59</v>
      </c>
      <c r="M27" s="25">
        <f t="shared" si="1"/>
        <v>0</v>
      </c>
      <c r="N27" s="61">
        <f t="shared" si="2"/>
        <v>85.59</v>
      </c>
      <c r="O27" s="56"/>
    </row>
    <row r="28" spans="1:15" ht="12.75">
      <c r="A28" s="41" t="s">
        <v>12</v>
      </c>
      <c r="B28" s="68"/>
      <c r="C28" s="42">
        <f>SUM(C14:C27)</f>
        <v>329529.53</v>
      </c>
      <c r="D28" s="42">
        <f>SUM(D14:D27)</f>
        <v>148435.7</v>
      </c>
      <c r="E28" s="62">
        <f>SUM(C28:D28)</f>
        <v>477965.23000000004</v>
      </c>
      <c r="F28" s="43">
        <f>SUM(F14:F27)</f>
        <v>1725973.5999999999</v>
      </c>
      <c r="G28" s="42">
        <f>SUM(G14:G27)</f>
        <v>611641.2032967322</v>
      </c>
      <c r="H28" s="64">
        <f>F28+G28</f>
        <v>2337614.803296732</v>
      </c>
      <c r="I28" s="43">
        <f>SUM(I14:I27)</f>
        <v>1809457.4000000001</v>
      </c>
      <c r="J28" s="45">
        <f>SUM(J14:J27)</f>
        <v>619479.9517301391</v>
      </c>
      <c r="K28" s="64">
        <f>I28+J28</f>
        <v>2428937.351730139</v>
      </c>
      <c r="L28" s="46">
        <f>SUM(L14:L27)</f>
        <v>246045.7299999998</v>
      </c>
      <c r="M28" s="44">
        <f>SUM(M14:M27)</f>
        <v>140596.9515665931</v>
      </c>
      <c r="N28" s="62">
        <f>L28+M28</f>
        <v>386642.6815665929</v>
      </c>
      <c r="O28" s="57">
        <f>SUM(O14:O27)</f>
        <v>2397464.24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630977.1900000001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160.57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509.95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63.03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597969.75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7668.86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15.03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24590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L12:N12"/>
    <mergeCell ref="A3:H3"/>
    <mergeCell ref="A4:D4"/>
    <mergeCell ref="A5:C5"/>
    <mergeCell ref="A6:D6"/>
    <mergeCell ref="A7:D7"/>
    <mergeCell ref="A8:E8"/>
    <mergeCell ref="B12:B13"/>
    <mergeCell ref="O12:O13"/>
    <mergeCell ref="A9:E9"/>
    <mergeCell ref="A10:K10"/>
    <mergeCell ref="M10:N10"/>
    <mergeCell ref="A1:L1"/>
    <mergeCell ref="A12:A13"/>
    <mergeCell ref="C12:E12"/>
    <mergeCell ref="F12:H12"/>
    <mergeCell ref="I12:K12"/>
  </mergeCells>
  <printOptions/>
  <pageMargins left="0.33" right="0.39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4"/>
  <sheetViews>
    <sheetView zoomScalePageLayoutView="0" workbookViewId="0" topLeftCell="A5">
      <selection activeCell="P5" sqref="P1:P16384"/>
    </sheetView>
  </sheetViews>
  <sheetFormatPr defaultColWidth="9.00390625" defaultRowHeight="12.75" outlineLevelRow="1" outlineLevelCol="1"/>
  <cols>
    <col min="1" max="1" width="24.25390625" style="0" customWidth="1"/>
    <col min="2" max="2" width="12.1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</row>
    <row r="3" spans="1:15" ht="12.75">
      <c r="A3" s="114" t="s">
        <v>58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2"/>
      <c r="N3" s="12"/>
      <c r="O3" s="12"/>
    </row>
    <row r="4" spans="1:15" ht="12.75">
      <c r="A4" s="97" t="s">
        <v>0</v>
      </c>
      <c r="B4" s="97"/>
      <c r="C4" s="98"/>
      <c r="D4" s="99"/>
      <c r="E4" s="12"/>
      <c r="F4" s="16">
        <v>220</v>
      </c>
      <c r="G4" s="11"/>
      <c r="H4" s="11"/>
      <c r="I4" s="11"/>
      <c r="J4" s="11"/>
      <c r="K4" s="11"/>
      <c r="L4" s="11"/>
      <c r="M4" s="12"/>
      <c r="N4" s="12"/>
      <c r="O4" s="12"/>
    </row>
    <row r="5" spans="1:15" ht="12.75">
      <c r="A5" s="113" t="s">
        <v>20</v>
      </c>
      <c r="B5" s="113"/>
      <c r="C5" s="99"/>
      <c r="D5" s="11"/>
      <c r="E5" s="12"/>
      <c r="F5" s="16">
        <v>11793.64</v>
      </c>
      <c r="G5" s="15"/>
      <c r="H5" s="15"/>
      <c r="I5" s="15"/>
      <c r="J5" s="15"/>
      <c r="K5" s="11"/>
      <c r="L5" s="11"/>
      <c r="M5" s="12"/>
      <c r="N5" s="12"/>
      <c r="O5" s="12"/>
    </row>
    <row r="6" spans="1:15" ht="12.75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2"/>
      <c r="N6" s="12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11793.64</v>
      </c>
      <c r="G7" s="15"/>
      <c r="H7" s="15"/>
      <c r="I7" s="15"/>
      <c r="J7" s="15"/>
      <c r="K7" s="11"/>
      <c r="L7" s="11"/>
      <c r="M7" s="12"/>
      <c r="N7" s="12"/>
      <c r="O7" s="12"/>
    </row>
    <row r="8" spans="1:15" ht="12.75">
      <c r="A8" s="97" t="s">
        <v>1</v>
      </c>
      <c r="B8" s="97"/>
      <c r="C8" s="98"/>
      <c r="D8" s="98"/>
      <c r="E8" s="99"/>
      <c r="F8" s="16">
        <v>297</v>
      </c>
      <c r="G8" s="15"/>
      <c r="H8" s="15"/>
      <c r="I8" s="15"/>
      <c r="J8" s="15"/>
      <c r="K8" s="11"/>
      <c r="L8" s="11"/>
      <c r="M8" s="12"/>
      <c r="N8" s="12"/>
      <c r="O8" s="12"/>
    </row>
    <row r="9" spans="1:15" ht="12.75">
      <c r="A9" s="100" t="s">
        <v>23</v>
      </c>
      <c r="B9" s="100"/>
      <c r="C9" s="99"/>
      <c r="D9" s="99"/>
      <c r="E9" s="99"/>
      <c r="F9" s="16">
        <v>1159.9</v>
      </c>
      <c r="G9" s="15"/>
      <c r="H9" s="15"/>
      <c r="I9" s="15"/>
      <c r="J9" s="15"/>
      <c r="K9" s="11"/>
      <c r="L9" s="11"/>
      <c r="M9" s="12"/>
      <c r="N9" s="12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2"/>
      <c r="N10" s="1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>
        <v>0</v>
      </c>
      <c r="J15" s="26"/>
      <c r="K15" s="63">
        <f aca="true" t="shared" si="0" ref="K15:K27">I15+J15</f>
        <v>0</v>
      </c>
      <c r="L15" s="25">
        <f>C15+F15-I15</f>
        <v>0</v>
      </c>
      <c r="M15" s="25"/>
      <c r="N15" s="61">
        <f>L15+M15</f>
        <v>0</v>
      </c>
      <c r="O15" s="56"/>
    </row>
    <row r="16" spans="1:15" ht="12.75" collapsed="1">
      <c r="A16" s="39" t="s">
        <v>9</v>
      </c>
      <c r="B16" s="67"/>
      <c r="C16" s="25">
        <v>139666.3500000001</v>
      </c>
      <c r="D16" s="25"/>
      <c r="E16" s="61">
        <f>SUM(C16:D16)</f>
        <v>139666.3500000001</v>
      </c>
      <c r="F16" s="25">
        <f>'[12]TDSheet'!$E$13</f>
        <v>-707.13</v>
      </c>
      <c r="G16" s="25"/>
      <c r="H16" s="63">
        <f>F16+G16</f>
        <v>-707.13</v>
      </c>
      <c r="I16" s="25">
        <f>'[2]TDSheet'!$G$30+'[2]TDSheet'!$H$30</f>
        <v>121551.87</v>
      </c>
      <c r="J16" s="26"/>
      <c r="K16" s="63">
        <f t="shared" si="0"/>
        <v>121551.87</v>
      </c>
      <c r="L16" s="25">
        <f>C16+F16-I16</f>
        <v>17407.350000000093</v>
      </c>
      <c r="M16" s="25"/>
      <c r="N16" s="61">
        <f>L16+M16</f>
        <v>17407.350000000093</v>
      </c>
      <c r="O16" s="56"/>
    </row>
    <row r="17" spans="1:15" ht="12.75">
      <c r="A17" s="39" t="s">
        <v>16</v>
      </c>
      <c r="B17" s="67"/>
      <c r="C17" s="25">
        <v>17290.76000000001</v>
      </c>
      <c r="D17" s="25"/>
      <c r="E17" s="61">
        <f>SUM(C17:D17)</f>
        <v>17290.76000000001</v>
      </c>
      <c r="F17" s="40">
        <f>'[1]TDSheet'!$G$26+'[3]TDSheet'!$G$22</f>
        <v>99885.96</v>
      </c>
      <c r="G17" s="25"/>
      <c r="H17" s="63">
        <f aca="true" t="shared" si="1" ref="H17:H27">F17+G17</f>
        <v>99885.96</v>
      </c>
      <c r="I17" s="25">
        <f>'[2]TDSheet'!$K$30</f>
        <v>97939.49</v>
      </c>
      <c r="J17" s="26"/>
      <c r="K17" s="63">
        <f t="shared" si="0"/>
        <v>97939.49</v>
      </c>
      <c r="L17" s="25">
        <f>C17+F17-I17</f>
        <v>19237.23000000001</v>
      </c>
      <c r="M17" s="25"/>
      <c r="N17" s="61">
        <f>L17+M17</f>
        <v>19237.23000000001</v>
      </c>
      <c r="O17" s="56">
        <v>98920.8</v>
      </c>
    </row>
    <row r="18" spans="1:15" ht="12.75">
      <c r="A18" s="38" t="s">
        <v>13</v>
      </c>
      <c r="B18" s="67"/>
      <c r="C18" s="25">
        <v>99288.72999999998</v>
      </c>
      <c r="D18" s="25"/>
      <c r="E18" s="61">
        <f aca="true" t="shared" si="2" ref="E18:E27">SUM(C18:D18)</f>
        <v>99288.72999999998</v>
      </c>
      <c r="F18" s="25">
        <f>'[1]TDSheet'!$J$26+'[4]TDSheet'!$G$24</f>
        <v>526153.6799999999</v>
      </c>
      <c r="G18" s="25"/>
      <c r="H18" s="63">
        <f t="shared" si="1"/>
        <v>526153.6799999999</v>
      </c>
      <c r="I18" s="25">
        <f>'[2]TDSheet'!$P$30</f>
        <v>528567.24</v>
      </c>
      <c r="J18" s="26"/>
      <c r="K18" s="63">
        <f t="shared" si="0"/>
        <v>528567.24</v>
      </c>
      <c r="L18" s="25">
        <f aca="true" t="shared" si="3" ref="L18:L27">C18+F18-I18</f>
        <v>96875.16999999993</v>
      </c>
      <c r="M18" s="25"/>
      <c r="N18" s="61">
        <f>L18+M18</f>
        <v>96875.16999999993</v>
      </c>
      <c r="O18" s="56">
        <v>410545.35</v>
      </c>
    </row>
    <row r="19" spans="1:15" ht="12.75" outlineLevel="1">
      <c r="A19" s="38" t="s">
        <v>15</v>
      </c>
      <c r="B19" s="67"/>
      <c r="C19" s="25">
        <v>-947.62</v>
      </c>
      <c r="D19" s="25"/>
      <c r="E19" s="61">
        <f t="shared" si="2"/>
        <v>-947.62</v>
      </c>
      <c r="F19" s="25"/>
      <c r="G19" s="25"/>
      <c r="H19" s="63">
        <f t="shared" si="1"/>
        <v>0</v>
      </c>
      <c r="I19" s="25"/>
      <c r="J19" s="26"/>
      <c r="K19" s="63">
        <f t="shared" si="0"/>
        <v>0</v>
      </c>
      <c r="L19" s="25">
        <f t="shared" si="3"/>
        <v>-947.62</v>
      </c>
      <c r="M19" s="25"/>
      <c r="N19" s="61">
        <f aca="true" t="shared" si="4" ref="N19:N27">L19+M19</f>
        <v>-947.62</v>
      </c>
      <c r="O19" s="56"/>
    </row>
    <row r="20" spans="1:15" ht="24">
      <c r="A20" s="38" t="s">
        <v>8</v>
      </c>
      <c r="B20" s="67"/>
      <c r="C20" s="25">
        <v>288266.19999999995</v>
      </c>
      <c r="D20" s="25"/>
      <c r="E20" s="61">
        <f t="shared" si="2"/>
        <v>288266.19999999995</v>
      </c>
      <c r="F20" s="25">
        <f>'[1]TDSheet'!$H$26</f>
        <v>1745008.98</v>
      </c>
      <c r="G20" s="25">
        <f>'[17]начисление НЖП'!$K$22</f>
        <v>26173.499888716302</v>
      </c>
      <c r="H20" s="63">
        <f t="shared" si="1"/>
        <v>1771182.4798887162</v>
      </c>
      <c r="I20" s="25">
        <f>'[2]TDSheet'!$D$30+'[2]TDSheet'!$E$30+'[2]TDSheet'!$N$30</f>
        <v>1758117.5799999998</v>
      </c>
      <c r="J20" s="26">
        <f>'[17]начисление НЖП'!$L$22</f>
        <v>23485.80171659947</v>
      </c>
      <c r="K20" s="63">
        <f t="shared" si="0"/>
        <v>1781603.3817165992</v>
      </c>
      <c r="L20" s="25">
        <f t="shared" si="3"/>
        <v>275157.6000000001</v>
      </c>
      <c r="M20" s="25"/>
      <c r="N20" s="61">
        <f t="shared" si="4"/>
        <v>275157.6000000001</v>
      </c>
      <c r="O20" s="56">
        <f>1831941.7-O14-O16-O17-O18-O21-O24-O25-O27</f>
        <v>1319695.8699999999</v>
      </c>
    </row>
    <row r="21" spans="1:15" ht="12.75">
      <c r="A21" s="38" t="s">
        <v>10</v>
      </c>
      <c r="B21" s="67"/>
      <c r="C21" s="25">
        <v>7314.41</v>
      </c>
      <c r="D21" s="25"/>
      <c r="E21" s="61">
        <f t="shared" si="2"/>
        <v>7314.41</v>
      </c>
      <c r="F21" s="25"/>
      <c r="G21" s="25"/>
      <c r="H21" s="63">
        <f t="shared" si="1"/>
        <v>0</v>
      </c>
      <c r="I21" s="25">
        <f>'[2]TDSheet'!$Q$30</f>
        <v>2950.16</v>
      </c>
      <c r="J21" s="26"/>
      <c r="K21" s="63">
        <f t="shared" si="0"/>
        <v>2950.16</v>
      </c>
      <c r="L21" s="25">
        <f t="shared" si="3"/>
        <v>4364.25</v>
      </c>
      <c r="M21" s="25"/>
      <c r="N21" s="61">
        <f t="shared" si="4"/>
        <v>4364.25</v>
      </c>
      <c r="O21" s="56"/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2"/>
        <v>0</v>
      </c>
      <c r="F22" s="25"/>
      <c r="G22" s="25"/>
      <c r="H22" s="63">
        <f t="shared" si="1"/>
        <v>0</v>
      </c>
      <c r="I22" s="25"/>
      <c r="J22" s="26"/>
      <c r="K22" s="63">
        <f t="shared" si="0"/>
        <v>0</v>
      </c>
      <c r="L22" s="25">
        <f t="shared" si="3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2"/>
        <v>0</v>
      </c>
      <c r="F23" s="25"/>
      <c r="G23" s="25"/>
      <c r="H23" s="63">
        <f t="shared" si="1"/>
        <v>0</v>
      </c>
      <c r="I23" s="25"/>
      <c r="J23" s="26"/>
      <c r="K23" s="63">
        <f t="shared" si="0"/>
        <v>0</v>
      </c>
      <c r="L23" s="25">
        <f t="shared" si="3"/>
        <v>0</v>
      </c>
      <c r="M23" s="25"/>
      <c r="N23" s="61">
        <f t="shared" si="4"/>
        <v>0</v>
      </c>
      <c r="O23" s="56"/>
    </row>
    <row r="24" spans="1:15" ht="12.75" collapsed="1">
      <c r="A24" s="38" t="s">
        <v>25</v>
      </c>
      <c r="B24" s="67"/>
      <c r="C24" s="25">
        <v>4033.4400000000005</v>
      </c>
      <c r="D24" s="25"/>
      <c r="E24" s="61">
        <f t="shared" si="2"/>
        <v>4033.4400000000005</v>
      </c>
      <c r="F24" s="25">
        <f>'[1]TDSheet'!$L$26</f>
        <v>29721.32</v>
      </c>
      <c r="G24" s="25"/>
      <c r="H24" s="63">
        <f t="shared" si="1"/>
        <v>29721.32</v>
      </c>
      <c r="I24" s="25">
        <f>'[2]TDSheet'!$S$30</f>
        <v>28650.6</v>
      </c>
      <c r="J24" s="26"/>
      <c r="K24" s="63">
        <f t="shared" si="0"/>
        <v>28650.6</v>
      </c>
      <c r="L24" s="25">
        <f t="shared" si="3"/>
        <v>5104.1600000000035</v>
      </c>
      <c r="M24" s="25"/>
      <c r="N24" s="61">
        <f t="shared" si="4"/>
        <v>5104.1600000000035</v>
      </c>
      <c r="O24" s="56">
        <v>1279.68</v>
      </c>
    </row>
    <row r="25" spans="1:15" ht="12.75">
      <c r="A25" s="38" t="s">
        <v>18</v>
      </c>
      <c r="B25" s="67"/>
      <c r="C25" s="25">
        <v>133.81999999999994</v>
      </c>
      <c r="D25" s="25"/>
      <c r="E25" s="61">
        <f t="shared" si="2"/>
        <v>133.81999999999994</v>
      </c>
      <c r="F25" s="25">
        <f>'[1]TDSheet'!$F$26</f>
        <v>1500</v>
      </c>
      <c r="G25" s="25"/>
      <c r="H25" s="63">
        <f t="shared" si="1"/>
        <v>1500</v>
      </c>
      <c r="I25" s="25">
        <f>'[2]TDSheet'!$I$30</f>
        <v>1633.82</v>
      </c>
      <c r="J25" s="26"/>
      <c r="K25" s="63">
        <f t="shared" si="0"/>
        <v>1633.82</v>
      </c>
      <c r="L25" s="25">
        <f t="shared" si="3"/>
        <v>0</v>
      </c>
      <c r="M25" s="25"/>
      <c r="N25" s="61">
        <f t="shared" si="4"/>
        <v>0</v>
      </c>
      <c r="O25" s="56">
        <v>1500</v>
      </c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/>
      <c r="M26" s="25"/>
      <c r="N26" s="61"/>
      <c r="O26" s="56"/>
    </row>
    <row r="27" spans="1:15" ht="12.75" collapsed="1">
      <c r="A27" s="38" t="s">
        <v>11</v>
      </c>
      <c r="B27" s="67"/>
      <c r="C27" s="25">
        <v>52024.58</v>
      </c>
      <c r="D27" s="25"/>
      <c r="E27" s="61">
        <f t="shared" si="2"/>
        <v>52024.58</v>
      </c>
      <c r="F27" s="25"/>
      <c r="G27" s="25"/>
      <c r="H27" s="63">
        <f t="shared" si="1"/>
        <v>0</v>
      </c>
      <c r="I27" s="25"/>
      <c r="J27" s="26"/>
      <c r="K27" s="63">
        <f t="shared" si="0"/>
        <v>0</v>
      </c>
      <c r="L27" s="25">
        <f t="shared" si="3"/>
        <v>52024.58</v>
      </c>
      <c r="M27" s="25"/>
      <c r="N27" s="61">
        <f t="shared" si="4"/>
        <v>52024.58</v>
      </c>
      <c r="O27" s="56"/>
    </row>
    <row r="28" spans="1:15" ht="12.75">
      <c r="A28" s="41" t="s">
        <v>12</v>
      </c>
      <c r="B28" s="68"/>
      <c r="C28" s="42">
        <f>SUM(C14:C27)</f>
        <v>607070.6699999999</v>
      </c>
      <c r="D28" s="42">
        <f>SUM(D14:D27)</f>
        <v>0</v>
      </c>
      <c r="E28" s="62">
        <f>SUM(C28:D28)</f>
        <v>607070.6699999999</v>
      </c>
      <c r="F28" s="43">
        <f>SUM(F14:F27)</f>
        <v>2401562.8099999996</v>
      </c>
      <c r="G28" s="42">
        <f>SUM(G14:G27)</f>
        <v>26173.499888716302</v>
      </c>
      <c r="H28" s="64">
        <f>F28+G28</f>
        <v>2427736.309888716</v>
      </c>
      <c r="I28" s="43">
        <f>SUM(I14:I27)</f>
        <v>2539410.76</v>
      </c>
      <c r="J28" s="45">
        <f>SUM(J14:J27)</f>
        <v>23485.80171659947</v>
      </c>
      <c r="K28" s="64">
        <f>I28+J28</f>
        <v>2562896.5617165994</v>
      </c>
      <c r="L28" s="46">
        <f>SUM(L14:L27)</f>
        <v>469222.72000000015</v>
      </c>
      <c r="M28" s="44">
        <f>SUM(M14:M27)</f>
        <v>0</v>
      </c>
      <c r="N28" s="62">
        <f>L28+M28</f>
        <v>469222.72000000015</v>
      </c>
      <c r="O28" s="57">
        <f>SUM(O14:O27)</f>
        <v>1831941.6999999997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57170.11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59.11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601.04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74.3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19471.32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17.71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36946.63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52"/>
      <c r="B41" s="12"/>
      <c r="C41" s="12"/>
      <c r="D41" s="12"/>
      <c r="E41" s="12"/>
      <c r="F41" s="53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sheetProtection/>
  <mergeCells count="16">
    <mergeCell ref="O12:O13"/>
    <mergeCell ref="A8:E8"/>
    <mergeCell ref="A9:E9"/>
    <mergeCell ref="A10:K10"/>
    <mergeCell ref="A12:A13"/>
    <mergeCell ref="C12:E12"/>
    <mergeCell ref="F12:H12"/>
    <mergeCell ref="I12:K12"/>
    <mergeCell ref="B12:B13"/>
    <mergeCell ref="A1:L1"/>
    <mergeCell ref="A3:H3"/>
    <mergeCell ref="A4:D4"/>
    <mergeCell ref="A5:C5"/>
    <mergeCell ref="A6:D6"/>
    <mergeCell ref="A7:D7"/>
    <mergeCell ref="L12:N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O45"/>
  <sheetViews>
    <sheetView zoomScalePageLayoutView="0" workbookViewId="0" topLeftCell="A1">
      <selection activeCell="P1" sqref="P1:P16384"/>
    </sheetView>
  </sheetViews>
  <sheetFormatPr defaultColWidth="9.00390625" defaultRowHeight="12.75" outlineLevelRow="1" outlineLevelCol="1"/>
  <cols>
    <col min="1" max="1" width="18.00390625" style="0" customWidth="1"/>
    <col min="2" max="2" width="10.37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57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183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14497.5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2040.8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16538.3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385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3567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15920.199999999983</v>
      </c>
      <c r="D17" s="25">
        <v>0</v>
      </c>
      <c r="E17" s="61">
        <f>SUM(C17:D17)</f>
        <v>15920.199999999983</v>
      </c>
      <c r="F17" s="40">
        <f>'[1]TDSheet'!$G$27+'[3]TDSheet'!$G$23</f>
        <v>94641.15</v>
      </c>
      <c r="G17" s="25"/>
      <c r="H17" s="63">
        <f aca="true" t="shared" si="3" ref="H17:H27">F17+G17</f>
        <v>94641.15</v>
      </c>
      <c r="I17" s="25">
        <f>'[2]TDSheet'!$K$33</f>
        <v>93968.65</v>
      </c>
      <c r="J17" s="26"/>
      <c r="K17" s="63">
        <f t="shared" si="0"/>
        <v>93968.65</v>
      </c>
      <c r="L17" s="25">
        <f t="shared" si="1"/>
        <v>16592.699999999983</v>
      </c>
      <c r="M17" s="25">
        <f t="shared" si="1"/>
        <v>0</v>
      </c>
      <c r="N17" s="61">
        <f t="shared" si="2"/>
        <v>16592.699999999983</v>
      </c>
      <c r="O17" s="56">
        <f>93340.66</f>
        <v>93340.66</v>
      </c>
    </row>
    <row r="18" spans="1:15" ht="24">
      <c r="A18" s="38" t="s">
        <v>13</v>
      </c>
      <c r="B18" s="67"/>
      <c r="C18" s="25">
        <v>106638.37</v>
      </c>
      <c r="D18" s="25">
        <v>0</v>
      </c>
      <c r="E18" s="61">
        <f aca="true" t="shared" si="4" ref="E18:E27">SUM(C18:D18)</f>
        <v>106638.37</v>
      </c>
      <c r="F18" s="25">
        <f>'[1]TDSheet'!$J$27+'[4]TDSheet'!$G$25</f>
        <v>635302.49</v>
      </c>
      <c r="G18" s="25"/>
      <c r="H18" s="63">
        <f t="shared" si="3"/>
        <v>635302.49</v>
      </c>
      <c r="I18" s="25">
        <f>'[2]TDSheet'!$P$33</f>
        <v>633031.67</v>
      </c>
      <c r="J18" s="26"/>
      <c r="K18" s="63">
        <f t="shared" si="0"/>
        <v>633031.67</v>
      </c>
      <c r="L18" s="25">
        <f t="shared" si="1"/>
        <v>108909.18999999994</v>
      </c>
      <c r="M18" s="25">
        <f t="shared" si="1"/>
        <v>0</v>
      </c>
      <c r="N18" s="61">
        <f t="shared" si="2"/>
        <v>108909.18999999994</v>
      </c>
      <c r="O18" s="56">
        <v>549077.88</v>
      </c>
    </row>
    <row r="19" spans="1:15" ht="24">
      <c r="A19" s="38" t="s">
        <v>15</v>
      </c>
      <c r="B19" s="67"/>
      <c r="C19" s="25">
        <v>14643.660000000003</v>
      </c>
      <c r="D19" s="25">
        <v>0</v>
      </c>
      <c r="E19" s="61">
        <f t="shared" si="4"/>
        <v>14643.660000000003</v>
      </c>
      <c r="F19" s="25">
        <f>'[1]TDSheet'!$E$27+'[5]TDSheet'!$G$19</f>
        <v>85177.91</v>
      </c>
      <c r="G19" s="25"/>
      <c r="H19" s="63">
        <f t="shared" si="3"/>
        <v>85177.91</v>
      </c>
      <c r="I19" s="25">
        <f>'[2]TDSheet'!$C$33</f>
        <v>85291.09</v>
      </c>
      <c r="J19" s="26"/>
      <c r="K19" s="63">
        <f t="shared" si="0"/>
        <v>85291.09</v>
      </c>
      <c r="L19" s="25">
        <f t="shared" si="1"/>
        <v>14530.48000000001</v>
      </c>
      <c r="M19" s="25">
        <f t="shared" si="1"/>
        <v>0</v>
      </c>
      <c r="N19" s="61">
        <f t="shared" si="2"/>
        <v>14530.48000000001</v>
      </c>
      <c r="O19" s="56">
        <v>157516.98</v>
      </c>
    </row>
    <row r="20" spans="1:15" ht="36">
      <c r="A20" s="38" t="s">
        <v>8</v>
      </c>
      <c r="B20" s="67"/>
      <c r="C20" s="25">
        <v>551321.1600000001</v>
      </c>
      <c r="D20" s="25">
        <v>277741.04999999993</v>
      </c>
      <c r="E20" s="61">
        <f t="shared" si="4"/>
        <v>829062.2100000001</v>
      </c>
      <c r="F20" s="25">
        <f>'[1]TDSheet'!$H$27+'[6]TDSheet'!$G$27</f>
        <v>2140811.3499999996</v>
      </c>
      <c r="G20" s="25">
        <f>'[17]начисление НЖП'!$B$23+'[17]начисление НЖП'!$K$23</f>
        <v>523267.67339223146</v>
      </c>
      <c r="H20" s="63">
        <f t="shared" si="3"/>
        <v>2664079.023392231</v>
      </c>
      <c r="I20" s="25">
        <f>'[2]TDSheet'!$N$33+'[2]TDSheet'!$T$33</f>
        <v>2241293.51</v>
      </c>
      <c r="J20" s="26">
        <f>'[17]начисление НЖП'!$C$23+'[17]начисление НЖП'!$L$23</f>
        <v>477776.88632663345</v>
      </c>
      <c r="K20" s="63">
        <f t="shared" si="0"/>
        <v>2719070.396326633</v>
      </c>
      <c r="L20" s="25">
        <f t="shared" si="1"/>
        <v>450839</v>
      </c>
      <c r="M20" s="25">
        <f t="shared" si="1"/>
        <v>323231.83706559794</v>
      </c>
      <c r="N20" s="61">
        <f t="shared" si="2"/>
        <v>774070.837065598</v>
      </c>
      <c r="O20" s="56">
        <f>2837905.64-O14-O15-O16-O17-O18-O19-O21-O22-O23-O24-O25-O26-O27</f>
        <v>1680713.05</v>
      </c>
    </row>
    <row r="21" spans="1:15" ht="12.75">
      <c r="A21" s="38" t="s">
        <v>10</v>
      </c>
      <c r="B21" s="67"/>
      <c r="C21" s="25">
        <v>0</v>
      </c>
      <c r="D21" s="25">
        <v>95993.71999999997</v>
      </c>
      <c r="E21" s="61">
        <f t="shared" si="4"/>
        <v>95993.71999999997</v>
      </c>
      <c r="F21" s="25"/>
      <c r="G21" s="25">
        <f>'[10]коммунНЖП'!$E$83</f>
        <v>363905.39999999997</v>
      </c>
      <c r="H21" s="63">
        <f t="shared" si="3"/>
        <v>363905.39999999997</v>
      </c>
      <c r="I21" s="25"/>
      <c r="J21" s="26">
        <f>'[10]коммунНЖП'!$F$83</f>
        <v>342580.57</v>
      </c>
      <c r="K21" s="63">
        <f t="shared" si="0"/>
        <v>342580.57</v>
      </c>
      <c r="L21" s="25">
        <f t="shared" si="1"/>
        <v>0</v>
      </c>
      <c r="M21" s="25">
        <f t="shared" si="1"/>
        <v>117318.54999999993</v>
      </c>
      <c r="N21" s="61">
        <f t="shared" si="2"/>
        <v>117318.54999999993</v>
      </c>
      <c r="O21" s="56">
        <v>354257.07</v>
      </c>
    </row>
    <row r="22" spans="1:15" ht="36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5022.129999999999</v>
      </c>
      <c r="D24" s="25">
        <v>0</v>
      </c>
      <c r="E24" s="61">
        <f t="shared" si="4"/>
        <v>5022.129999999999</v>
      </c>
      <c r="F24" s="25">
        <f>'[1]TDSheet'!$L$27+'[7]TDSheet'!$G$25</f>
        <v>36537.030000000006</v>
      </c>
      <c r="G24" s="25"/>
      <c r="H24" s="63">
        <f t="shared" si="3"/>
        <v>36537.030000000006</v>
      </c>
      <c r="I24" s="25">
        <f>'[2]TDSheet'!$S$33</f>
        <v>35875.48</v>
      </c>
      <c r="J24" s="26"/>
      <c r="K24" s="63">
        <f t="shared" si="0"/>
        <v>35875.48</v>
      </c>
      <c r="L24" s="25">
        <f t="shared" si="1"/>
        <v>5683.68</v>
      </c>
      <c r="M24" s="25">
        <f t="shared" si="1"/>
        <v>0</v>
      </c>
      <c r="N24" s="61">
        <f t="shared" si="2"/>
        <v>5683.68</v>
      </c>
      <c r="O24" s="56"/>
    </row>
    <row r="25" spans="1:15" ht="12.75">
      <c r="A25" s="38" t="s">
        <v>18</v>
      </c>
      <c r="B25" s="67"/>
      <c r="C25" s="25">
        <v>0</v>
      </c>
      <c r="D25" s="25">
        <v>3000</v>
      </c>
      <c r="E25" s="61">
        <f t="shared" si="4"/>
        <v>3000</v>
      </c>
      <c r="F25" s="25">
        <f>'[1]TDSheet'!$F$27</f>
        <v>3000</v>
      </c>
      <c r="G25" s="25"/>
      <c r="H25" s="63">
        <f t="shared" si="3"/>
        <v>3000</v>
      </c>
      <c r="I25" s="25">
        <f>'[2]TDSheet'!$I$33</f>
        <v>1500</v>
      </c>
      <c r="J25" s="26"/>
      <c r="K25" s="63">
        <f t="shared" si="0"/>
        <v>1500</v>
      </c>
      <c r="L25" s="25">
        <f t="shared" si="1"/>
        <v>1500</v>
      </c>
      <c r="M25" s="25">
        <f t="shared" si="1"/>
        <v>3000</v>
      </c>
      <c r="N25" s="61">
        <f t="shared" si="2"/>
        <v>4500</v>
      </c>
      <c r="O25" s="56">
        <v>3000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693545.5200000001</v>
      </c>
      <c r="D28" s="42">
        <f>SUM(D14:D27)</f>
        <v>376734.7699999999</v>
      </c>
      <c r="E28" s="62">
        <f>SUM(C28:D28)</f>
        <v>1070280.29</v>
      </c>
      <c r="F28" s="43">
        <f>SUM(F14:F27)</f>
        <v>2995469.9299999992</v>
      </c>
      <c r="G28" s="42">
        <f>SUM(G14:G27)</f>
        <v>887173.0733922315</v>
      </c>
      <c r="H28" s="64">
        <f>F28+G28</f>
        <v>3882643.0033922307</v>
      </c>
      <c r="I28" s="43">
        <f>SUM(I14:I27)</f>
        <v>3090960.4</v>
      </c>
      <c r="J28" s="45">
        <f>SUM(J14:J27)</f>
        <v>820357.4563266335</v>
      </c>
      <c r="K28" s="64">
        <f>I28+J28</f>
        <v>3911317.856326633</v>
      </c>
      <c r="L28" s="46">
        <f>SUM(L14:L27)</f>
        <v>598055.0499999999</v>
      </c>
      <c r="M28" s="44">
        <f>SUM(M14:M27)</f>
        <v>443550.38706559787</v>
      </c>
      <c r="N28" s="62">
        <f>L28+M28</f>
        <v>1041605.4370655979</v>
      </c>
      <c r="O28" s="57">
        <f>SUM(O14:O27)</f>
        <v>2837905.64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32522.870000000003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693.72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843.21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104.22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8946.75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24.84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21910.13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A1:L1"/>
    <mergeCell ref="O12:O13"/>
    <mergeCell ref="A3:H3"/>
    <mergeCell ref="A4:D4"/>
    <mergeCell ref="A5:C5"/>
    <mergeCell ref="A6:D6"/>
    <mergeCell ref="A7:D7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B12:B13"/>
  </mergeCells>
  <printOptions/>
  <pageMargins left="0.35433070866141736" right="0.15748031496062992" top="0.7480314960629921" bottom="0.69" header="0.31496062992125984" footer="0.31496062992125984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4">
      <selection activeCell="R13" sqref="R13"/>
    </sheetView>
  </sheetViews>
  <sheetFormatPr defaultColWidth="9.00390625" defaultRowHeight="12.75" outlineLevelRow="1" outlineLevelCol="1"/>
  <cols>
    <col min="1" max="1" width="26.625" style="0" customWidth="1"/>
    <col min="2" max="2" width="12.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56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88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5853.9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5853.9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131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1009.1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/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/>
      <c r="N15" s="61">
        <f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/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/>
      <c r="N16" s="61">
        <f>L16+M16</f>
        <v>0</v>
      </c>
      <c r="O16" s="56"/>
    </row>
    <row r="17" spans="1:15" ht="12.75" collapsed="1">
      <c r="A17" s="39" t="s">
        <v>16</v>
      </c>
      <c r="B17" s="67"/>
      <c r="C17" s="25">
        <v>7181.379999999997</v>
      </c>
      <c r="D17" s="25"/>
      <c r="E17" s="61">
        <f>SUM(C17:D17)</f>
        <v>7181.379999999997</v>
      </c>
      <c r="F17" s="40">
        <f>'[1]TDSheet'!$G$29+'[3]TDSheet'!$G$25</f>
        <v>45122.31</v>
      </c>
      <c r="G17" s="25"/>
      <c r="H17" s="63">
        <f aca="true" t="shared" si="2" ref="H17:H27">F17+G17</f>
        <v>45122.31</v>
      </c>
      <c r="I17" s="25">
        <f>'[2]TDSheet'!$K$20</f>
        <v>42567.06</v>
      </c>
      <c r="J17" s="26"/>
      <c r="K17" s="63">
        <f t="shared" si="0"/>
        <v>42567.06</v>
      </c>
      <c r="L17" s="25">
        <f t="shared" si="1"/>
        <v>9736.629999999997</v>
      </c>
      <c r="M17" s="25"/>
      <c r="N17" s="61">
        <f>L17+M17</f>
        <v>9736.629999999997</v>
      </c>
      <c r="O17" s="56">
        <v>44594.08</v>
      </c>
    </row>
    <row r="18" spans="1:15" ht="12.75">
      <c r="A18" s="38" t="s">
        <v>13</v>
      </c>
      <c r="B18" s="67"/>
      <c r="C18" s="25">
        <v>39773.90000000002</v>
      </c>
      <c r="D18" s="25"/>
      <c r="E18" s="61">
        <f aca="true" t="shared" si="3" ref="E18:E27">SUM(C18:D18)</f>
        <v>39773.90000000002</v>
      </c>
      <c r="F18" s="25">
        <f>'[1]TDSheet'!$J$29+'[4]TDSheet'!$G$27</f>
        <v>254495.45</v>
      </c>
      <c r="G18" s="25"/>
      <c r="H18" s="63">
        <f t="shared" si="2"/>
        <v>254495.45</v>
      </c>
      <c r="I18" s="25">
        <f>'[2]TDSheet'!$P$20</f>
        <v>233119.93</v>
      </c>
      <c r="J18" s="26"/>
      <c r="K18" s="63">
        <f t="shared" si="0"/>
        <v>233119.93</v>
      </c>
      <c r="L18" s="25">
        <f t="shared" si="1"/>
        <v>61149.42000000004</v>
      </c>
      <c r="M18" s="25"/>
      <c r="N18" s="61">
        <f>L18+M18</f>
        <v>61149.42000000004</v>
      </c>
      <c r="O18" s="56">
        <v>203507.71</v>
      </c>
    </row>
    <row r="19" spans="1:15" ht="12.75">
      <c r="A19" s="38" t="s">
        <v>15</v>
      </c>
      <c r="B19" s="67"/>
      <c r="C19" s="25">
        <v>4941.9599999999955</v>
      </c>
      <c r="D19" s="25"/>
      <c r="E19" s="61">
        <f t="shared" si="3"/>
        <v>4941.9599999999955</v>
      </c>
      <c r="F19" s="25">
        <f>'[1]TDSheet'!$E$29+'[5]TDSheet'!$G$21</f>
        <v>34322.92</v>
      </c>
      <c r="G19" s="25"/>
      <c r="H19" s="63">
        <f t="shared" si="2"/>
        <v>34322.92</v>
      </c>
      <c r="I19" s="25">
        <f>'[2]TDSheet'!$C$20</f>
        <v>32529.22</v>
      </c>
      <c r="J19" s="26"/>
      <c r="K19" s="63">
        <f t="shared" si="0"/>
        <v>32529.22</v>
      </c>
      <c r="L19" s="25">
        <f t="shared" si="1"/>
        <v>6735.659999999989</v>
      </c>
      <c r="M19" s="25"/>
      <c r="N19" s="61">
        <f aca="true" t="shared" si="4" ref="N19:N27">L19+M19</f>
        <v>6735.659999999989</v>
      </c>
      <c r="O19" s="56">
        <v>53334.57</v>
      </c>
    </row>
    <row r="20" spans="1:15" ht="24">
      <c r="A20" s="38" t="s">
        <v>8</v>
      </c>
      <c r="B20" s="67"/>
      <c r="C20" s="25">
        <v>259289.27000000002</v>
      </c>
      <c r="D20" s="25">
        <v>468.22000000000025</v>
      </c>
      <c r="E20" s="61">
        <f t="shared" si="3"/>
        <v>259757.49000000002</v>
      </c>
      <c r="F20" s="25">
        <f>'[1]TDSheet'!$H$29+'[6]TDSheet'!$G$29</f>
        <v>862149.02</v>
      </c>
      <c r="G20" s="25">
        <f>'[17]начисление НЖП'!$K$25</f>
        <v>12991.498044586433</v>
      </c>
      <c r="H20" s="63">
        <f t="shared" si="2"/>
        <v>875140.5180445864</v>
      </c>
      <c r="I20" s="25">
        <f>'[2]TDSheet'!$N$20+'[2]TDSheet'!$T$20</f>
        <v>843075.35</v>
      </c>
      <c r="J20" s="26">
        <f>'[17]начисление НЖП'!$L$25</f>
        <v>11657.430163104997</v>
      </c>
      <c r="K20" s="63">
        <f t="shared" si="0"/>
        <v>854732.780163105</v>
      </c>
      <c r="L20" s="25">
        <f t="shared" si="1"/>
        <v>278362.94000000006</v>
      </c>
      <c r="M20" s="25">
        <f t="shared" si="1"/>
        <v>1802.2878814814358</v>
      </c>
      <c r="N20" s="61">
        <f t="shared" si="4"/>
        <v>280165.2278814815</v>
      </c>
      <c r="O20" s="56">
        <f>916142.48-O14-O17-O18-O19-O21-O24-O25</f>
        <v>610246.0700000001</v>
      </c>
    </row>
    <row r="21" spans="1:15" ht="12.75">
      <c r="A21" s="38" t="s">
        <v>10</v>
      </c>
      <c r="B21" s="67"/>
      <c r="C21" s="25">
        <v>8749.22</v>
      </c>
      <c r="D21" s="25"/>
      <c r="E21" s="61">
        <f t="shared" si="3"/>
        <v>8749.22</v>
      </c>
      <c r="F21" s="25"/>
      <c r="G21" s="25"/>
      <c r="H21" s="63">
        <f t="shared" si="2"/>
        <v>0</v>
      </c>
      <c r="I21" s="25"/>
      <c r="J21" s="26"/>
      <c r="K21" s="63">
        <f t="shared" si="0"/>
        <v>0</v>
      </c>
      <c r="L21" s="25">
        <f t="shared" si="1"/>
        <v>8749.22</v>
      </c>
      <c r="M21" s="25"/>
      <c r="N21" s="61">
        <f t="shared" si="4"/>
        <v>8749.22</v>
      </c>
      <c r="O21" s="56">
        <v>14.13</v>
      </c>
    </row>
    <row r="22" spans="1:15" ht="24" customHeight="1" hidden="1" outlineLevel="1">
      <c r="A22" s="38" t="s">
        <v>19</v>
      </c>
      <c r="B22" s="67"/>
      <c r="C22" s="25">
        <v>0</v>
      </c>
      <c r="D22" s="25"/>
      <c r="E22" s="61">
        <f t="shared" si="3"/>
        <v>0</v>
      </c>
      <c r="F22" s="25"/>
      <c r="G22" s="25"/>
      <c r="H22" s="63">
        <f t="shared" si="2"/>
        <v>0</v>
      </c>
      <c r="I22" s="25"/>
      <c r="J22" s="26"/>
      <c r="K22" s="63">
        <f t="shared" si="0"/>
        <v>0</v>
      </c>
      <c r="L22" s="25">
        <f t="shared" si="1"/>
        <v>0</v>
      </c>
      <c r="M22" s="25"/>
      <c r="N22" s="61">
        <f t="shared" si="4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/>
      <c r="E23" s="61">
        <f t="shared" si="3"/>
        <v>0</v>
      </c>
      <c r="F23" s="25"/>
      <c r="G23" s="25"/>
      <c r="H23" s="63">
        <f t="shared" si="2"/>
        <v>0</v>
      </c>
      <c r="I23" s="25"/>
      <c r="J23" s="26"/>
      <c r="K23" s="63">
        <f t="shared" si="0"/>
        <v>0</v>
      </c>
      <c r="L23" s="25">
        <f t="shared" si="1"/>
        <v>0</v>
      </c>
      <c r="M23" s="25"/>
      <c r="N23" s="61">
        <f t="shared" si="4"/>
        <v>0</v>
      </c>
      <c r="O23" s="56"/>
    </row>
    <row r="24" spans="1:15" ht="12.75" collapsed="1">
      <c r="A24" s="38" t="s">
        <v>25</v>
      </c>
      <c r="B24" s="67"/>
      <c r="C24" s="25">
        <v>1412.6099999999997</v>
      </c>
      <c r="D24" s="25"/>
      <c r="E24" s="61">
        <f t="shared" si="3"/>
        <v>1412.6099999999997</v>
      </c>
      <c r="F24" s="25">
        <f>'[1]TDSheet'!$L$29+'[7]TDSheet'!$G$27</f>
        <v>14722.6</v>
      </c>
      <c r="G24" s="25"/>
      <c r="H24" s="63">
        <f t="shared" si="2"/>
        <v>14722.6</v>
      </c>
      <c r="I24" s="25">
        <f>'[2]TDSheet'!$S$20</f>
        <v>13652.74</v>
      </c>
      <c r="J24" s="26"/>
      <c r="K24" s="63">
        <f t="shared" si="0"/>
        <v>13652.74</v>
      </c>
      <c r="L24" s="25">
        <f t="shared" si="1"/>
        <v>2482.4699999999993</v>
      </c>
      <c r="M24" s="25"/>
      <c r="N24" s="61">
        <f t="shared" si="4"/>
        <v>2482.4699999999993</v>
      </c>
      <c r="O24" s="56">
        <v>1445.92</v>
      </c>
    </row>
    <row r="25" spans="1:15" ht="12.75">
      <c r="A25" s="38" t="s">
        <v>18</v>
      </c>
      <c r="B25" s="67"/>
      <c r="C25" s="25">
        <v>-1500</v>
      </c>
      <c r="D25" s="25"/>
      <c r="E25" s="61">
        <f t="shared" si="3"/>
        <v>-1500</v>
      </c>
      <c r="F25" s="25">
        <f>'[1]TDSheet'!$F$29+'[11]TDSheet'!$G$23</f>
        <v>3000</v>
      </c>
      <c r="G25" s="25"/>
      <c r="H25" s="63">
        <f t="shared" si="2"/>
        <v>3000</v>
      </c>
      <c r="I25" s="25">
        <f>'[2]TDSheet'!$I$20</f>
        <v>1500</v>
      </c>
      <c r="J25" s="26"/>
      <c r="K25" s="63">
        <f t="shared" si="0"/>
        <v>1500</v>
      </c>
      <c r="L25" s="25">
        <f t="shared" si="1"/>
        <v>0</v>
      </c>
      <c r="M25" s="25"/>
      <c r="N25" s="61">
        <f t="shared" si="4"/>
        <v>0</v>
      </c>
      <c r="O25" s="56">
        <v>3000</v>
      </c>
    </row>
    <row r="26" spans="1:15" ht="12.75" customHeight="1" hidden="1" outlineLevel="1">
      <c r="A26" s="38" t="s">
        <v>27</v>
      </c>
      <c r="B26" s="67"/>
      <c r="C26" s="25"/>
      <c r="D26" s="25"/>
      <c r="E26" s="61"/>
      <c r="F26" s="25"/>
      <c r="G26" s="25"/>
      <c r="H26" s="63"/>
      <c r="I26" s="25"/>
      <c r="J26" s="26"/>
      <c r="K26" s="63"/>
      <c r="L26" s="25"/>
      <c r="M26" s="25"/>
      <c r="N26" s="61"/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3"/>
        <v>0</v>
      </c>
      <c r="F27" s="25"/>
      <c r="G27" s="25"/>
      <c r="H27" s="63">
        <f t="shared" si="2"/>
        <v>0</v>
      </c>
      <c r="I27" s="25"/>
      <c r="J27" s="26"/>
      <c r="K27" s="63">
        <f t="shared" si="0"/>
        <v>0</v>
      </c>
      <c r="L27" s="25">
        <f t="shared" si="1"/>
        <v>0</v>
      </c>
      <c r="M27" s="25"/>
      <c r="N27" s="61">
        <f t="shared" si="4"/>
        <v>0</v>
      </c>
      <c r="O27" s="56"/>
    </row>
    <row r="28" spans="1:15" ht="12.75" collapsed="1">
      <c r="A28" s="41" t="s">
        <v>12</v>
      </c>
      <c r="B28" s="68"/>
      <c r="C28" s="42">
        <f>SUM(C14:C27)</f>
        <v>319848.33999999997</v>
      </c>
      <c r="D28" s="42">
        <f aca="true" t="shared" si="5" ref="D28:O28">SUM(D14:D27)</f>
        <v>468.22000000000025</v>
      </c>
      <c r="E28" s="62">
        <f t="shared" si="5"/>
        <v>320316.56</v>
      </c>
      <c r="F28" s="43">
        <f t="shared" si="5"/>
        <v>1213812.3</v>
      </c>
      <c r="G28" s="42">
        <f t="shared" si="5"/>
        <v>12991.498044586433</v>
      </c>
      <c r="H28" s="64">
        <f t="shared" si="5"/>
        <v>1226803.7980445866</v>
      </c>
      <c r="I28" s="43">
        <f t="shared" si="5"/>
        <v>1166444.3</v>
      </c>
      <c r="J28" s="45">
        <f t="shared" si="5"/>
        <v>11657.430163104997</v>
      </c>
      <c r="K28" s="64">
        <f t="shared" si="5"/>
        <v>1178101.730163105</v>
      </c>
      <c r="L28" s="46">
        <f t="shared" si="5"/>
        <v>367216.34</v>
      </c>
      <c r="M28" s="44">
        <f t="shared" si="5"/>
        <v>1802.2878814814358</v>
      </c>
      <c r="N28" s="62">
        <f t="shared" si="5"/>
        <v>369018.6278814815</v>
      </c>
      <c r="O28" s="57">
        <f t="shared" si="5"/>
        <v>916142.4800000001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4" t="s">
        <v>34</v>
      </c>
      <c r="B31" s="50"/>
      <c r="C31" s="50"/>
      <c r="D31" s="50"/>
      <c r="E31" s="50"/>
      <c r="F31" s="55">
        <f>SUM(F32:F40)</f>
        <v>15645.759999999998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12"/>
      <c r="C32" s="12"/>
      <c r="D32" s="12"/>
      <c r="E32" s="12"/>
      <c r="F32" s="53">
        <v>335.37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298.61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36.91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14660.07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306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8.8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O12:O13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A1:L1"/>
    <mergeCell ref="A3:H3"/>
    <mergeCell ref="A4:D4"/>
    <mergeCell ref="A5:C5"/>
    <mergeCell ref="A6:D6"/>
    <mergeCell ref="A7:D7"/>
    <mergeCell ref="B12:B13"/>
  </mergeCells>
  <printOptions/>
  <pageMargins left="0.2" right="0.1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8">
      <selection activeCell="R14" sqref="R14"/>
    </sheetView>
  </sheetViews>
  <sheetFormatPr defaultColWidth="9.00390625" defaultRowHeight="12.75" outlineLevelRow="1" outlineLevelCol="1"/>
  <cols>
    <col min="1" max="1" width="18.625" style="0" customWidth="1"/>
    <col min="2" max="2" width="11.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55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132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11394.9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273.8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11668.699999999999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267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2076.2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13392.41000000001</v>
      </c>
      <c r="D17" s="25">
        <v>0</v>
      </c>
      <c r="E17" s="61">
        <f>SUM(C17:D17)</f>
        <v>13392.41000000001</v>
      </c>
      <c r="F17" s="40">
        <f>'[1]TDSheet'!$G$30+'[3]TDSheet'!$G$26</f>
        <v>63294.14</v>
      </c>
      <c r="G17" s="25"/>
      <c r="H17" s="63">
        <f aca="true" t="shared" si="3" ref="H17:H27">F17+G17</f>
        <v>63294.14</v>
      </c>
      <c r="I17" s="25">
        <f>'[2]TDSheet'!$K$19</f>
        <v>64279.52</v>
      </c>
      <c r="J17" s="26"/>
      <c r="K17" s="63">
        <f t="shared" si="0"/>
        <v>64279.52</v>
      </c>
      <c r="L17" s="25">
        <f t="shared" si="1"/>
        <v>12407.03000000002</v>
      </c>
      <c r="M17" s="25">
        <f t="shared" si="1"/>
        <v>0</v>
      </c>
      <c r="N17" s="61">
        <f t="shared" si="2"/>
        <v>12407.03000000002</v>
      </c>
      <c r="O17" s="56">
        <v>62917.94</v>
      </c>
    </row>
    <row r="18" spans="1:15" ht="24">
      <c r="A18" s="38" t="s">
        <v>13</v>
      </c>
      <c r="B18" s="67"/>
      <c r="C18" s="25">
        <v>104042.69000000006</v>
      </c>
      <c r="D18" s="25">
        <v>0</v>
      </c>
      <c r="E18" s="61">
        <f aca="true" t="shared" si="4" ref="E18:E27">SUM(C18:D18)</f>
        <v>104042.69000000006</v>
      </c>
      <c r="F18" s="25">
        <f>'[1]TDSheet'!$J$30+'[4]TDSheet'!$G$28</f>
        <v>502728.12</v>
      </c>
      <c r="G18" s="25"/>
      <c r="H18" s="63">
        <f t="shared" si="3"/>
        <v>502728.12</v>
      </c>
      <c r="I18" s="25">
        <f>'[2]TDSheet'!$P$19</f>
        <v>515531.39</v>
      </c>
      <c r="J18" s="26"/>
      <c r="K18" s="63">
        <f t="shared" si="0"/>
        <v>515531.39</v>
      </c>
      <c r="L18" s="25">
        <f t="shared" si="1"/>
        <v>91239.42000000004</v>
      </c>
      <c r="M18" s="25">
        <f t="shared" si="1"/>
        <v>0</v>
      </c>
      <c r="N18" s="61">
        <f t="shared" si="2"/>
        <v>91239.42000000004</v>
      </c>
      <c r="O18" s="56">
        <v>408202.66</v>
      </c>
    </row>
    <row r="19" spans="1:15" ht="24">
      <c r="A19" s="38" t="s">
        <v>15</v>
      </c>
      <c r="B19" s="67"/>
      <c r="C19" s="25">
        <v>13689.380000000005</v>
      </c>
      <c r="D19" s="25">
        <v>0</v>
      </c>
      <c r="E19" s="61">
        <f t="shared" si="4"/>
        <v>13689.380000000005</v>
      </c>
      <c r="F19" s="25">
        <f>'[1]TDSheet'!$E$30+'[5]TDSheet'!$G$22</f>
        <v>66038.98999999999</v>
      </c>
      <c r="G19" s="25"/>
      <c r="H19" s="63">
        <f t="shared" si="3"/>
        <v>66038.98999999999</v>
      </c>
      <c r="I19" s="25">
        <f>'[2]TDSheet'!$C$19</f>
        <v>67311.33</v>
      </c>
      <c r="J19" s="26"/>
      <c r="K19" s="63">
        <f t="shared" si="0"/>
        <v>67311.33</v>
      </c>
      <c r="L19" s="25">
        <f t="shared" si="1"/>
        <v>12417.039999999994</v>
      </c>
      <c r="M19" s="25">
        <f t="shared" si="1"/>
        <v>0</v>
      </c>
      <c r="N19" s="61">
        <f t="shared" si="2"/>
        <v>12417.039999999994</v>
      </c>
      <c r="O19" s="56">
        <v>103346.18</v>
      </c>
    </row>
    <row r="20" spans="1:15" ht="36">
      <c r="A20" s="38" t="s">
        <v>8</v>
      </c>
      <c r="B20" s="67"/>
      <c r="C20" s="25">
        <v>507742.5900000001</v>
      </c>
      <c r="D20" s="25">
        <v>4715.199999999997</v>
      </c>
      <c r="E20" s="61">
        <f t="shared" si="4"/>
        <v>512457.7900000001</v>
      </c>
      <c r="F20" s="25">
        <f>'[1]TDSheet'!$H$30+'[6]TDSheet'!$G$30</f>
        <v>1661832.35</v>
      </c>
      <c r="G20" s="25">
        <f>'[17]начисление НЖП'!$B$26+'[17]начисление НЖП'!$K$26</f>
        <v>68609.02187479555</v>
      </c>
      <c r="H20" s="63">
        <f t="shared" si="3"/>
        <v>1730441.3718747958</v>
      </c>
      <c r="I20" s="25">
        <f>'[2]TDSheet'!$N$19+'[2]TDSheet'!$T$19</f>
        <v>1760418.56</v>
      </c>
      <c r="J20" s="26">
        <f>'[17]начисление НЖП'!$C$26+'[17]начисление НЖП'!$L$26</f>
        <v>63897.09676185505</v>
      </c>
      <c r="K20" s="63">
        <f t="shared" si="0"/>
        <v>1824315.6567618551</v>
      </c>
      <c r="L20" s="25">
        <f t="shared" si="1"/>
        <v>409156.38000000035</v>
      </c>
      <c r="M20" s="25">
        <f t="shared" si="1"/>
        <v>9427.1251129405</v>
      </c>
      <c r="N20" s="61">
        <f t="shared" si="2"/>
        <v>418583.50511294085</v>
      </c>
      <c r="O20" s="56">
        <f>1826434-O14-O15-O16-O17-O18-O19-O21-O22-O23-O24-O25-O26-O27</f>
        <v>1188573.0800000003</v>
      </c>
    </row>
    <row r="21" spans="1:15" ht="12.75">
      <c r="A21" s="38" t="s">
        <v>10</v>
      </c>
      <c r="B21" s="67"/>
      <c r="C21" s="25">
        <v>0</v>
      </c>
      <c r="D21" s="25">
        <v>6370.919999999998</v>
      </c>
      <c r="E21" s="61">
        <f t="shared" si="4"/>
        <v>6370.919999999998</v>
      </c>
      <c r="F21" s="25"/>
      <c r="G21" s="25">
        <f>'[10]коммунНЖП'!$E$99</f>
        <v>56613.530000000006</v>
      </c>
      <c r="H21" s="63">
        <f t="shared" si="3"/>
        <v>56613.530000000006</v>
      </c>
      <c r="I21" s="25"/>
      <c r="J21" s="26">
        <f>'[10]коммунНЖП'!$F$99</f>
        <v>51353.06</v>
      </c>
      <c r="K21" s="63">
        <f t="shared" si="0"/>
        <v>51353.06</v>
      </c>
      <c r="L21" s="25">
        <f t="shared" si="1"/>
        <v>0</v>
      </c>
      <c r="M21" s="25">
        <f t="shared" si="1"/>
        <v>11631.390000000007</v>
      </c>
      <c r="N21" s="61">
        <f t="shared" si="2"/>
        <v>11631.390000000007</v>
      </c>
      <c r="O21" s="56">
        <v>57394.14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4195.119999999999</v>
      </c>
      <c r="D24" s="25">
        <v>0</v>
      </c>
      <c r="E24" s="61">
        <f t="shared" si="4"/>
        <v>4195.119999999999</v>
      </c>
      <c r="F24" s="25">
        <f>'[1]TDSheet'!$L$30+'[7]TDSheet'!$G$28</f>
        <v>28337.41</v>
      </c>
      <c r="G24" s="25"/>
      <c r="H24" s="63">
        <f t="shared" si="3"/>
        <v>28337.41</v>
      </c>
      <c r="I24" s="25">
        <f>'[2]TDSheet'!$S$19</f>
        <v>27715.76</v>
      </c>
      <c r="J24" s="26"/>
      <c r="K24" s="63">
        <f t="shared" si="0"/>
        <v>27715.76</v>
      </c>
      <c r="L24" s="25">
        <f t="shared" si="1"/>
        <v>4816.77</v>
      </c>
      <c r="M24" s="25">
        <f t="shared" si="1"/>
        <v>0</v>
      </c>
      <c r="N24" s="61">
        <f t="shared" si="2"/>
        <v>4816.77</v>
      </c>
      <c r="O24" s="56"/>
    </row>
    <row r="25" spans="1:15" ht="12.75">
      <c r="A25" s="38" t="s">
        <v>18</v>
      </c>
      <c r="B25" s="67"/>
      <c r="C25" s="25">
        <v>4500</v>
      </c>
      <c r="D25" s="25">
        <v>0</v>
      </c>
      <c r="E25" s="61">
        <f t="shared" si="4"/>
        <v>4500</v>
      </c>
      <c r="F25" s="25">
        <f>'[1]TDSheet'!$F$30</f>
        <v>6000</v>
      </c>
      <c r="G25" s="25"/>
      <c r="H25" s="63">
        <f t="shared" si="3"/>
        <v>6000</v>
      </c>
      <c r="I25" s="25">
        <f>'[2]TDSheet'!$I$19</f>
        <v>5127.2</v>
      </c>
      <c r="J25" s="26"/>
      <c r="K25" s="63">
        <f t="shared" si="0"/>
        <v>5127.2</v>
      </c>
      <c r="L25" s="25">
        <f t="shared" si="1"/>
        <v>5372.8</v>
      </c>
      <c r="M25" s="25">
        <f t="shared" si="1"/>
        <v>0</v>
      </c>
      <c r="N25" s="61">
        <f t="shared" si="2"/>
        <v>5372.8</v>
      </c>
      <c r="O25" s="56">
        <v>6000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647562.1900000002</v>
      </c>
      <c r="D28" s="42">
        <f>SUM(D14:D27)</f>
        <v>11086.119999999995</v>
      </c>
      <c r="E28" s="62">
        <f>SUM(C28:D28)</f>
        <v>658648.3100000002</v>
      </c>
      <c r="F28" s="43">
        <f>SUM(F14:F27)</f>
        <v>2328231.0100000002</v>
      </c>
      <c r="G28" s="42">
        <f>SUM(G14:G27)</f>
        <v>125222.55187479555</v>
      </c>
      <c r="H28" s="64">
        <f>F28+G28</f>
        <v>2453453.5618747957</v>
      </c>
      <c r="I28" s="43">
        <f>SUM(I14:I27)</f>
        <v>2440383.76</v>
      </c>
      <c r="J28" s="45">
        <f>SUM(J14:J27)</f>
        <v>115250.15676185505</v>
      </c>
      <c r="K28" s="64">
        <f>I28+J28</f>
        <v>2555633.9167618547</v>
      </c>
      <c r="L28" s="46">
        <f>SUM(L14:L27)</f>
        <v>535409.4400000005</v>
      </c>
      <c r="M28" s="44">
        <f>SUM(M14:M27)</f>
        <v>21058.515112940506</v>
      </c>
      <c r="N28" s="62">
        <f>L28+M28</f>
        <v>556467.955112941</v>
      </c>
      <c r="O28" s="57">
        <f>SUM(O14:O27)</f>
        <v>1826434.0000000002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4" t="s">
        <v>34</v>
      </c>
      <c r="B31" s="50"/>
      <c r="C31" s="50"/>
      <c r="D31" s="50"/>
      <c r="E31" s="50"/>
      <c r="F31" s="55">
        <f>SUM(F32:F40)</f>
        <v>49505.04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53">
        <v>96.53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595.14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73.53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29618.95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17.52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19103.37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A7:D7"/>
    <mergeCell ref="A8:E8"/>
    <mergeCell ref="B12:B13"/>
    <mergeCell ref="O12:O13"/>
    <mergeCell ref="A9:E9"/>
    <mergeCell ref="A10:K10"/>
    <mergeCell ref="M10:N10"/>
    <mergeCell ref="A1:L1"/>
    <mergeCell ref="A12:A13"/>
    <mergeCell ref="C12:E12"/>
    <mergeCell ref="F12:H12"/>
    <mergeCell ref="I12:K12"/>
    <mergeCell ref="L12:N12"/>
    <mergeCell ref="A3:H3"/>
    <mergeCell ref="A4:D4"/>
    <mergeCell ref="A5:C5"/>
    <mergeCell ref="A6:D6"/>
  </mergeCells>
  <printOptions/>
  <pageMargins left="0.26" right="0.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4"/>
  <sheetViews>
    <sheetView zoomScalePageLayoutView="0" workbookViewId="0" topLeftCell="A1">
      <selection activeCell="P1" sqref="P1:P16384"/>
    </sheetView>
  </sheetViews>
  <sheetFormatPr defaultColWidth="9.00390625" defaultRowHeight="12.75" outlineLevelRow="1" outlineLevelCol="1"/>
  <cols>
    <col min="1" max="1" width="26.125" style="0" customWidth="1"/>
    <col min="2" max="2" width="11.25390625" style="0" hidden="1" customWidth="1" outlineLevel="1"/>
    <col min="3" max="3" width="10.125" style="0" bestFit="1" customWidth="1" collapsed="1"/>
    <col min="4" max="4" width="10.375" style="0" customWidth="1"/>
    <col min="5" max="5" width="9.125" style="0" customWidth="1"/>
    <col min="6" max="6" width="11.75390625" style="0" customWidth="1"/>
    <col min="7" max="8" width="9.125" style="0" customWidth="1"/>
    <col min="9" max="9" width="11.75390625" style="0" customWidth="1"/>
    <col min="10" max="11" width="9.125" style="0" customWidth="1"/>
    <col min="12" max="12" width="10.125" style="0" customWidth="1"/>
    <col min="13" max="15" width="9.125" style="0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54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120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9645.3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1635.9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11281.199999999999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273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2012.2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10624.720000000001</v>
      </c>
      <c r="D17" s="25">
        <v>0</v>
      </c>
      <c r="E17" s="61">
        <f>SUM(C17:D17)</f>
        <v>10624.720000000001</v>
      </c>
      <c r="F17" s="40">
        <f>'[1]TDSheet'!$G$31+'[3]TDSheet'!$G$27</f>
        <v>60161.32</v>
      </c>
      <c r="G17" s="25"/>
      <c r="H17" s="63">
        <f aca="true" t="shared" si="3" ref="H17:H27">F17+G17</f>
        <v>60161.32</v>
      </c>
      <c r="I17" s="25">
        <f>'[2]TDSheet'!$K$23</f>
        <v>61255.34</v>
      </c>
      <c r="J17" s="26"/>
      <c r="K17" s="63">
        <f t="shared" si="0"/>
        <v>61255.34</v>
      </c>
      <c r="L17" s="25">
        <f t="shared" si="1"/>
        <v>9530.700000000012</v>
      </c>
      <c r="M17" s="25">
        <f t="shared" si="1"/>
        <v>0</v>
      </c>
      <c r="N17" s="61">
        <f t="shared" si="2"/>
        <v>9530.700000000012</v>
      </c>
      <c r="O17" s="56">
        <v>59970.8</v>
      </c>
    </row>
    <row r="18" spans="1:15" ht="12.75">
      <c r="A18" s="38" t="s">
        <v>13</v>
      </c>
      <c r="B18" s="67"/>
      <c r="C18" s="25">
        <v>77384.28000000003</v>
      </c>
      <c r="D18" s="25">
        <v>0</v>
      </c>
      <c r="E18" s="61">
        <f aca="true" t="shared" si="4" ref="E18:E27">SUM(C18:D18)</f>
        <v>77384.28000000003</v>
      </c>
      <c r="F18" s="25">
        <f>'[1]TDSheet'!$J$31+'[4]TDSheet'!$G$29</f>
        <v>423841.96</v>
      </c>
      <c r="G18" s="25"/>
      <c r="H18" s="63">
        <f t="shared" si="3"/>
        <v>423841.96</v>
      </c>
      <c r="I18" s="25">
        <f>'[2]TDSheet'!$P$23</f>
        <v>436827.78</v>
      </c>
      <c r="J18" s="26"/>
      <c r="K18" s="63">
        <f t="shared" si="0"/>
        <v>436827.78</v>
      </c>
      <c r="L18" s="25">
        <f t="shared" si="1"/>
        <v>64398.46000000002</v>
      </c>
      <c r="M18" s="25">
        <f t="shared" si="1"/>
        <v>0</v>
      </c>
      <c r="N18" s="61">
        <f t="shared" si="2"/>
        <v>64398.46000000002</v>
      </c>
      <c r="O18" s="56">
        <v>359915.73</v>
      </c>
    </row>
    <row r="19" spans="1:15" ht="12.75">
      <c r="A19" s="38" t="s">
        <v>15</v>
      </c>
      <c r="B19" s="67"/>
      <c r="C19" s="25">
        <v>10432.800000000003</v>
      </c>
      <c r="D19" s="25">
        <v>0</v>
      </c>
      <c r="E19" s="61">
        <f t="shared" si="4"/>
        <v>10432.800000000003</v>
      </c>
      <c r="F19" s="25">
        <f>'[1]TDSheet'!$E$31+'[5]TDSheet'!$G$23</f>
        <v>56617.86</v>
      </c>
      <c r="G19" s="25"/>
      <c r="H19" s="63">
        <f t="shared" si="3"/>
        <v>56617.86</v>
      </c>
      <c r="I19" s="25">
        <f>'[2]TDSheet'!$C$23</f>
        <v>58856.78</v>
      </c>
      <c r="J19" s="26"/>
      <c r="K19" s="63">
        <f t="shared" si="0"/>
        <v>58856.78</v>
      </c>
      <c r="L19" s="25">
        <f t="shared" si="1"/>
        <v>8193.880000000005</v>
      </c>
      <c r="M19" s="25">
        <f t="shared" si="1"/>
        <v>0</v>
      </c>
      <c r="N19" s="61">
        <f t="shared" si="2"/>
        <v>8193.880000000005</v>
      </c>
      <c r="O19" s="56">
        <v>108603.16</v>
      </c>
    </row>
    <row r="20" spans="1:15" ht="24">
      <c r="A20" s="38" t="s">
        <v>8</v>
      </c>
      <c r="B20" s="67"/>
      <c r="C20" s="25">
        <f>3.02+'[6]TDSheet'!$C$31+'[13]TDSheet'!$C$16+'[14]TDSheet'!$C$24+'[15]TDSheet'!$C$24+'[16]TDSheet'!$C$15</f>
        <v>418880.24</v>
      </c>
      <c r="D20" s="25">
        <v>213514.27000000008</v>
      </c>
      <c r="E20" s="61">
        <f t="shared" si="4"/>
        <v>632394.51</v>
      </c>
      <c r="F20" s="25">
        <f>'[1]TDSheet'!$H$31+'[6]TDSheet'!$G$31</f>
        <v>1418984.24</v>
      </c>
      <c r="G20" s="25">
        <f>'[17]начисление НЖП'!$B$27+'[17]начисление НЖП'!$K$27</f>
        <v>413256.6472438184</v>
      </c>
      <c r="H20" s="63">
        <f t="shared" si="3"/>
        <v>1832240.8872438185</v>
      </c>
      <c r="I20" s="25">
        <f>'[2]TDSheet'!$D$23+'[2]TDSheet'!$E$23+'[2]TDSheet'!$N$23+'[2]TDSheet'!$T$23+'[2]TDSheet'!$L$23</f>
        <v>1601741.03</v>
      </c>
      <c r="J20" s="26">
        <f>'[17]начисление НЖП'!$C$27+'[17]начисление НЖП'!$L$27</f>
        <v>341167.0110025829</v>
      </c>
      <c r="K20" s="63">
        <f t="shared" si="0"/>
        <v>1942908.041002583</v>
      </c>
      <c r="L20" s="25">
        <f t="shared" si="1"/>
        <v>236123.44999999995</v>
      </c>
      <c r="M20" s="25">
        <f t="shared" si="1"/>
        <v>285603.9062412356</v>
      </c>
      <c r="N20" s="61">
        <f t="shared" si="2"/>
        <v>521727.35624123557</v>
      </c>
      <c r="O20" s="56">
        <f>3066966.47-O14-O15-O16-O17-O18-O19-O21-O22-O23-O24-O25-O26-O27</f>
        <v>2165406.18</v>
      </c>
    </row>
    <row r="21" spans="1:15" ht="12.75">
      <c r="A21" s="38" t="s">
        <v>10</v>
      </c>
      <c r="B21" s="67"/>
      <c r="C21" s="25">
        <v>3193.6499999999996</v>
      </c>
      <c r="D21" s="25">
        <v>75190.80999999994</v>
      </c>
      <c r="E21" s="61">
        <f t="shared" si="4"/>
        <v>78384.45999999993</v>
      </c>
      <c r="F21" s="25"/>
      <c r="G21" s="25">
        <f>'[10]коммунНЖП'!$E$106</f>
        <v>380286.76</v>
      </c>
      <c r="H21" s="63">
        <f t="shared" si="3"/>
        <v>380286.76</v>
      </c>
      <c r="I21" s="25">
        <f>'[2]TDSheet'!$Q$23</f>
        <v>3193.65</v>
      </c>
      <c r="J21" s="26">
        <f>'[10]коммунНЖП'!$F$106</f>
        <v>318178.04000000004</v>
      </c>
      <c r="K21" s="63">
        <f t="shared" si="0"/>
        <v>321371.69000000006</v>
      </c>
      <c r="L21" s="25">
        <f t="shared" si="1"/>
        <v>0</v>
      </c>
      <c r="M21" s="25">
        <f t="shared" si="1"/>
        <v>137299.5299999999</v>
      </c>
      <c r="N21" s="61">
        <f t="shared" si="2"/>
        <v>137299.5299999999</v>
      </c>
      <c r="O21" s="56">
        <v>367322.69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3316.1400000000012</v>
      </c>
      <c r="D24" s="25">
        <v>0</v>
      </c>
      <c r="E24" s="61">
        <f t="shared" si="4"/>
        <v>3316.1400000000012</v>
      </c>
      <c r="F24" s="25">
        <f>'[1]TDSheet'!$L$31+'[7]TDSheet'!$G$29</f>
        <v>24306.89</v>
      </c>
      <c r="G24" s="25"/>
      <c r="H24" s="63">
        <f t="shared" si="3"/>
        <v>24306.89</v>
      </c>
      <c r="I24" s="25">
        <f>'[2]TDSheet'!$S$23</f>
        <v>24176.91</v>
      </c>
      <c r="J24" s="26"/>
      <c r="K24" s="63">
        <f t="shared" si="0"/>
        <v>24176.91</v>
      </c>
      <c r="L24" s="25">
        <f t="shared" si="1"/>
        <v>3446.119999999999</v>
      </c>
      <c r="M24" s="25">
        <f t="shared" si="1"/>
        <v>0</v>
      </c>
      <c r="N24" s="61">
        <f t="shared" si="2"/>
        <v>3446.119999999999</v>
      </c>
      <c r="O24" s="56">
        <v>4247.91</v>
      </c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'[1]TDSheet'!$F$31</f>
        <v>1500</v>
      </c>
      <c r="G25" s="25"/>
      <c r="H25" s="63">
        <f t="shared" si="3"/>
        <v>1500</v>
      </c>
      <c r="I25" s="25">
        <f>'[2]TDSheet'!$I$23</f>
        <v>0</v>
      </c>
      <c r="J25" s="26"/>
      <c r="K25" s="63">
        <f t="shared" si="0"/>
        <v>0</v>
      </c>
      <c r="L25" s="25">
        <f t="shared" si="1"/>
        <v>1500</v>
      </c>
      <c r="M25" s="25">
        <f t="shared" si="1"/>
        <v>0</v>
      </c>
      <c r="N25" s="61">
        <f t="shared" si="2"/>
        <v>1500</v>
      </c>
      <c r="O25" s="56">
        <v>1500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523831.8300000001</v>
      </c>
      <c r="D28" s="42">
        <f>SUM(D14:D27)</f>
        <v>288705.08</v>
      </c>
      <c r="E28" s="62">
        <f>SUM(C28:D28)</f>
        <v>812536.9100000001</v>
      </c>
      <c r="F28" s="43">
        <f>SUM(F14:F27)</f>
        <v>1985412.2699999998</v>
      </c>
      <c r="G28" s="42">
        <f>SUM(G14:G27)</f>
        <v>793543.4072438184</v>
      </c>
      <c r="H28" s="64">
        <f>F28+G28</f>
        <v>2778955.677243818</v>
      </c>
      <c r="I28" s="43">
        <f>SUM(I14:I27)</f>
        <v>2186051.49</v>
      </c>
      <c r="J28" s="45">
        <f>SUM(J14:J27)</f>
        <v>659345.051002583</v>
      </c>
      <c r="K28" s="64">
        <f>I28+J28</f>
        <v>2845396.541002583</v>
      </c>
      <c r="L28" s="46">
        <f>SUM(L14:L27)</f>
        <v>323192.61</v>
      </c>
      <c r="M28" s="44">
        <f>SUM(M14:M27)</f>
        <v>422903.4362412355</v>
      </c>
      <c r="N28" s="62">
        <f>L28+M28</f>
        <v>746096.0462412355</v>
      </c>
      <c r="O28" s="57">
        <f>SUM(O14:O27)</f>
        <v>3066966.47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1" t="s">
        <v>34</v>
      </c>
      <c r="B31" s="51"/>
      <c r="C31" s="51"/>
      <c r="D31" s="51"/>
      <c r="E31" s="51"/>
      <c r="F31" s="51">
        <f>SUM(F32:F40)</f>
        <v>1074196.21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53">
        <v>345.23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117028.18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71.08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930005.77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6049.01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16.94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20680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2.75" collapsed="1"/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2">
      <selection activeCell="S13" sqref="S13"/>
    </sheetView>
  </sheetViews>
  <sheetFormatPr defaultColWidth="9.00390625" defaultRowHeight="12.75" outlineLevelRow="1" outlineLevelCol="1"/>
  <cols>
    <col min="1" max="1" width="19.125" style="0" customWidth="1"/>
    <col min="2" max="2" width="15.00390625" style="0" hidden="1" customWidth="1" outlineLevel="1"/>
    <col min="3" max="3" width="10.125" style="0" bestFit="1" customWidth="1" collapsed="1"/>
    <col min="4" max="5" width="9.125" style="0" customWidth="1"/>
    <col min="6" max="6" width="11.75390625" style="0" customWidth="1"/>
    <col min="7" max="8" width="9.125" style="0" customWidth="1"/>
    <col min="9" max="9" width="11.75390625" style="0" customWidth="1"/>
    <col min="10" max="11" width="9.125" style="0" customWidth="1"/>
    <col min="12" max="12" width="10.125" style="0" customWidth="1"/>
    <col min="13" max="15" width="9.125" style="0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53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132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8823.94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40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8863.94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221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1347.4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5726.630000000001</v>
      </c>
      <c r="D17" s="25">
        <v>0</v>
      </c>
      <c r="E17" s="61">
        <f>SUM(C17:D17)</f>
        <v>5726.630000000001</v>
      </c>
      <c r="F17" s="40">
        <f>'[1]TDSheet'!$G$33+'[3]TDSheet'!$G$29</f>
        <v>44990.96</v>
      </c>
      <c r="G17" s="25"/>
      <c r="H17" s="63">
        <f aca="true" t="shared" si="3" ref="H17:H27">F17+G17</f>
        <v>44990.96</v>
      </c>
      <c r="I17" s="25">
        <f>'[2]TDSheet'!$K$12</f>
        <v>40170.19</v>
      </c>
      <c r="J17" s="26"/>
      <c r="K17" s="63">
        <f t="shared" si="0"/>
        <v>40170.19</v>
      </c>
      <c r="L17" s="25">
        <f t="shared" si="1"/>
        <v>10547.399999999994</v>
      </c>
      <c r="M17" s="25">
        <f t="shared" si="1"/>
        <v>0</v>
      </c>
      <c r="N17" s="61">
        <f t="shared" si="2"/>
        <v>10547.399999999994</v>
      </c>
      <c r="O17" s="56">
        <v>47659.9</v>
      </c>
    </row>
    <row r="18" spans="1:15" ht="24">
      <c r="A18" s="38" t="s">
        <v>13</v>
      </c>
      <c r="B18" s="67"/>
      <c r="C18" s="25">
        <v>70980.63</v>
      </c>
      <c r="D18" s="25">
        <v>0</v>
      </c>
      <c r="E18" s="61">
        <f aca="true" t="shared" si="4" ref="E18:E27">SUM(C18:D18)</f>
        <v>70980.63</v>
      </c>
      <c r="F18" s="25">
        <f>'[1]TDSheet'!$J$33+'[4]TDSheet'!$G$31</f>
        <v>394944</v>
      </c>
      <c r="G18" s="25"/>
      <c r="H18" s="63">
        <f t="shared" si="3"/>
        <v>394944</v>
      </c>
      <c r="I18" s="25">
        <f>'[2]TDSheet'!$P$12</f>
        <v>390078.33</v>
      </c>
      <c r="J18" s="26"/>
      <c r="K18" s="63">
        <f t="shared" si="0"/>
        <v>390078.33</v>
      </c>
      <c r="L18" s="25">
        <f t="shared" si="1"/>
        <v>75846.29999999999</v>
      </c>
      <c r="M18" s="25">
        <f t="shared" si="1"/>
        <v>0</v>
      </c>
      <c r="N18" s="61">
        <f t="shared" si="2"/>
        <v>75846.29999999999</v>
      </c>
      <c r="O18" s="56">
        <v>310174.8</v>
      </c>
    </row>
    <row r="19" spans="1:15" ht="24">
      <c r="A19" s="38" t="s">
        <v>15</v>
      </c>
      <c r="B19" s="67"/>
      <c r="C19" s="25">
        <v>9845.140000000007</v>
      </c>
      <c r="D19" s="25">
        <v>0</v>
      </c>
      <c r="E19" s="61">
        <f t="shared" si="4"/>
        <v>9845.140000000007</v>
      </c>
      <c r="F19" s="25">
        <f>'[1]TDSheet'!$E$33+'[5]TDSheet'!$G$24</f>
        <v>51881.67</v>
      </c>
      <c r="G19" s="25"/>
      <c r="H19" s="63">
        <f t="shared" si="3"/>
        <v>51881.67</v>
      </c>
      <c r="I19" s="25">
        <f>'[2]TDSheet'!$C$12</f>
        <v>51680.35</v>
      </c>
      <c r="J19" s="26"/>
      <c r="K19" s="63">
        <f t="shared" si="0"/>
        <v>51680.35</v>
      </c>
      <c r="L19" s="25">
        <f t="shared" si="1"/>
        <v>10046.460000000006</v>
      </c>
      <c r="M19" s="25">
        <f t="shared" si="1"/>
        <v>0</v>
      </c>
      <c r="N19" s="61">
        <f t="shared" si="2"/>
        <v>10046.460000000006</v>
      </c>
      <c r="O19" s="56">
        <v>81453.63</v>
      </c>
    </row>
    <row r="20" spans="1:15" ht="36">
      <c r="A20" s="38" t="s">
        <v>8</v>
      </c>
      <c r="B20" s="67"/>
      <c r="C20" s="25">
        <f>'[16]TDSheet'!$C$16+'[6]TDSheet'!$C$33</f>
        <v>326788.8</v>
      </c>
      <c r="D20" s="25">
        <v>1752.6599999999962</v>
      </c>
      <c r="E20" s="61">
        <f t="shared" si="4"/>
        <v>328541.45999999996</v>
      </c>
      <c r="F20" s="25">
        <f>'[1]TDSheet'!$H$33+'[6]TDSheet'!$G$33</f>
        <v>1305538.44</v>
      </c>
      <c r="G20" s="25">
        <f>'[17]начисление НЖП'!$B$29+'[17]начисление НЖП'!$K$29</f>
        <v>25911.64782065486</v>
      </c>
      <c r="H20" s="63">
        <f t="shared" si="3"/>
        <v>1331450.0878206547</v>
      </c>
      <c r="I20" s="25">
        <f>'[2]TDSheet'!$N$12+'[2]TDSheet'!$T$12</f>
        <v>1340547.5699999998</v>
      </c>
      <c r="J20" s="26">
        <f>'[17]начисление НЖП'!$C$29+'[17]начисление НЖП'!$L$29</f>
        <v>23891.610297400523</v>
      </c>
      <c r="K20" s="63">
        <f t="shared" si="0"/>
        <v>1364439.1802974003</v>
      </c>
      <c r="L20" s="25">
        <f t="shared" si="1"/>
        <v>291779.67000000016</v>
      </c>
      <c r="M20" s="25">
        <f t="shared" si="1"/>
        <v>3772.6975232543336</v>
      </c>
      <c r="N20" s="61">
        <f t="shared" si="2"/>
        <v>295552.3675232545</v>
      </c>
      <c r="O20" s="56">
        <f>1345206.09-O14-O15-O16-O17-O18-O19-O21-O22-O23-O24-O25-O26-O27</f>
        <v>893474.7300000001</v>
      </c>
    </row>
    <row r="21" spans="1:15" ht="12.75">
      <c r="A21" s="38" t="s">
        <v>10</v>
      </c>
      <c r="B21" s="67"/>
      <c r="C21" s="25">
        <v>0</v>
      </c>
      <c r="D21" s="25">
        <v>850.52</v>
      </c>
      <c r="E21" s="61">
        <f t="shared" si="4"/>
        <v>850.52</v>
      </c>
      <c r="F21" s="25"/>
      <c r="G21" s="25">
        <f>'[10]коммунНЖП'!$E$117</f>
        <v>7583.59</v>
      </c>
      <c r="H21" s="63">
        <f t="shared" si="3"/>
        <v>7583.59</v>
      </c>
      <c r="I21" s="25"/>
      <c r="J21" s="26">
        <f>'[10]коммунНЖП'!$F$117</f>
        <v>6389.19</v>
      </c>
      <c r="K21" s="63">
        <f t="shared" si="0"/>
        <v>6389.19</v>
      </c>
      <c r="L21" s="25">
        <f t="shared" si="1"/>
        <v>0</v>
      </c>
      <c r="M21" s="25">
        <f t="shared" si="1"/>
        <v>2044.920000000001</v>
      </c>
      <c r="N21" s="61">
        <f t="shared" si="2"/>
        <v>2044.920000000001</v>
      </c>
      <c r="O21" s="56">
        <v>7703.91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2778.460000000001</v>
      </c>
      <c r="D24" s="25">
        <v>0</v>
      </c>
      <c r="E24" s="61">
        <f t="shared" si="4"/>
        <v>2778.460000000001</v>
      </c>
      <c r="F24" s="25">
        <f>'[1]TDSheet'!$L$33+'[7]TDSheet'!$G$31</f>
        <v>22237.420000000002</v>
      </c>
      <c r="G24" s="25"/>
      <c r="H24" s="63">
        <f t="shared" si="3"/>
        <v>22237.420000000002</v>
      </c>
      <c r="I24" s="25">
        <f>'[2]TDSheet'!$S$12</f>
        <v>21219.54</v>
      </c>
      <c r="J24" s="26"/>
      <c r="K24" s="63">
        <f t="shared" si="0"/>
        <v>21219.54</v>
      </c>
      <c r="L24" s="25">
        <f t="shared" si="1"/>
        <v>3796.340000000004</v>
      </c>
      <c r="M24" s="25">
        <f t="shared" si="1"/>
        <v>0</v>
      </c>
      <c r="N24" s="61">
        <f t="shared" si="2"/>
        <v>3796.340000000004</v>
      </c>
      <c r="O24" s="56">
        <v>4239.12</v>
      </c>
    </row>
    <row r="25" spans="1:15" ht="12.75">
      <c r="A25" s="38" t="s">
        <v>18</v>
      </c>
      <c r="B25" s="67"/>
      <c r="C25" s="25">
        <v>548.1599999999999</v>
      </c>
      <c r="D25" s="25">
        <v>0</v>
      </c>
      <c r="E25" s="61">
        <f t="shared" si="4"/>
        <v>548.1599999999999</v>
      </c>
      <c r="F25" s="25">
        <f>'[1]TDSheet'!$F$33</f>
        <v>500</v>
      </c>
      <c r="G25" s="25"/>
      <c r="H25" s="63">
        <f t="shared" si="3"/>
        <v>500</v>
      </c>
      <c r="I25" s="25">
        <f>'[2]TDSheet'!$I$12</f>
        <v>1048.16</v>
      </c>
      <c r="J25" s="26"/>
      <c r="K25" s="63">
        <f t="shared" si="0"/>
        <v>1048.16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>
        <v>500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416667.82</v>
      </c>
      <c r="D28" s="42">
        <f>SUM(D14:D27)</f>
        <v>2603.179999999996</v>
      </c>
      <c r="E28" s="62">
        <f>SUM(C28:D28)</f>
        <v>419271</v>
      </c>
      <c r="F28" s="43">
        <f>SUM(F14:F27)</f>
        <v>1820092.4899999998</v>
      </c>
      <c r="G28" s="42">
        <f>SUM(G14:G27)</f>
        <v>33495.23782065486</v>
      </c>
      <c r="H28" s="64">
        <f>F28+G28</f>
        <v>1853587.7278206546</v>
      </c>
      <c r="I28" s="43">
        <f>SUM(I14:I27)</f>
        <v>1844744.14</v>
      </c>
      <c r="J28" s="45">
        <f>SUM(J14:J27)</f>
        <v>30280.80029740052</v>
      </c>
      <c r="K28" s="64">
        <f>I28+J28</f>
        <v>1875024.9402974003</v>
      </c>
      <c r="L28" s="46">
        <f>SUM(L14:L27)</f>
        <v>392016.17000000016</v>
      </c>
      <c r="M28" s="44">
        <f>SUM(M14:M27)</f>
        <v>5817.617523254335</v>
      </c>
      <c r="N28" s="62">
        <f>L28+M28</f>
        <v>397833.7875232545</v>
      </c>
      <c r="O28" s="57">
        <f>SUM(O14:O27)</f>
        <v>1345206.09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s="23" customFormat="1" ht="12.75">
      <c r="A31" s="51" t="s">
        <v>34</v>
      </c>
      <c r="B31" s="51"/>
      <c r="C31" s="51"/>
      <c r="D31" s="51"/>
      <c r="E31" s="51"/>
      <c r="F31" s="51">
        <f>SUM(F32:F40)</f>
        <v>5321.179999999999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12">
        <v>44.47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12">
        <v>452.16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12">
        <v>55.87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12"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12">
        <v>4755.36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12">
        <v>0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12">
        <v>13.32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12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12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O12:O13"/>
    <mergeCell ref="A9:E9"/>
    <mergeCell ref="A1:L1"/>
    <mergeCell ref="A10:K10"/>
    <mergeCell ref="M10:N10"/>
    <mergeCell ref="A12:A13"/>
    <mergeCell ref="C12:E12"/>
    <mergeCell ref="F12:H12"/>
    <mergeCell ref="I12:K12"/>
    <mergeCell ref="L12:N12"/>
    <mergeCell ref="A3:H3"/>
    <mergeCell ref="A4:D4"/>
    <mergeCell ref="A5:C5"/>
    <mergeCell ref="A6:D6"/>
    <mergeCell ref="A7:D7"/>
    <mergeCell ref="A8:E8"/>
    <mergeCell ref="B12:B13"/>
  </mergeCells>
  <printOptions/>
  <pageMargins left="0.26" right="0.17" top="0.7480314960629921" bottom="0.78" header="0.31496062992125984" footer="0.31496062992125984"/>
  <pageSetup fitToHeight="1" fitToWidth="1" horizontalDpi="600" verticalDpi="600" orientation="landscape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0" zoomScaleNormal="90" zoomScalePageLayoutView="0" workbookViewId="0" topLeftCell="A4">
      <selection activeCell="N32" sqref="N32"/>
    </sheetView>
  </sheetViews>
  <sheetFormatPr defaultColWidth="9.00390625" defaultRowHeight="12.75" outlineLevelRow="1" outlineLevelCol="1"/>
  <cols>
    <col min="1" max="1" width="22.875" style="0" customWidth="1"/>
    <col min="2" max="2" width="14.375" style="0" hidden="1" customWidth="1" outlineLevel="1"/>
    <col min="3" max="3" width="13.125" style="0" customWidth="1" collapsed="1"/>
    <col min="4" max="4" width="11.75390625" style="0" bestFit="1" customWidth="1"/>
    <col min="5" max="5" width="9.75390625" style="0" bestFit="1" customWidth="1"/>
    <col min="6" max="6" width="13.625" style="0" bestFit="1" customWidth="1"/>
    <col min="7" max="7" width="12.625" style="0" bestFit="1" customWidth="1"/>
    <col min="8" max="9" width="13.625" style="0" bestFit="1" customWidth="1"/>
    <col min="10" max="10" width="12.625" style="0" bestFit="1" customWidth="1"/>
    <col min="11" max="11" width="13.625" style="0" bestFit="1" customWidth="1"/>
    <col min="12" max="12" width="13.125" style="0" customWidth="1"/>
    <col min="14" max="14" width="12.875" style="0" customWidth="1"/>
    <col min="15" max="15" width="12.753906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14" t="s">
        <v>52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22">
        <f>'В13'!F4+'В52А'!F4+'Г28Б'!F4+Лен29А!F4+Лен42!F4+'Св.пр58А'!F4+Мон31!F4+Мон33!F4+Мон35!F4+'Цв.59А'!F4+энг26А!F4+Зах3В!F4+'К.пр60А'!F4+'К.пр62А'!F4+'К.пр62Б'!F4+'К.пр.66А'!F4+'К.пр66Б'!F4+'К.пр66В'!F4+'К.пр76А'!F4+'К.пр78Б'!F4+'К.пр.82А'!F4+'250лет10'!F4+'40лет29'!F4+'40лет29А'!F4+'40лет29Б'!F4+'40лет29В'!F4+'40лет29Д'!F4+'40летПоб31'!F4+'40лет31Б'!F4+'40лет31В'!F4+'40лет33'!F4+'40лет33А'!F4+'40лет33Б'!F4+'40летПоб35'!F4+'40лет35А'!F4+'К.пр76'!F4</f>
        <v>2963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22">
        <f>'В13'!F5+'В52А'!F5+'Г28Б'!F5+Лен29А!F5+Лен42!F5+'Св.пр58А'!F5+Мон31!F5+Мон33!F5+Мон35!F5+'Цв.59А'!F5+энг26А!F5+Зах3В!F5+'К.пр60А'!F5+'К.пр62А'!F5+'К.пр62Б'!F5+'К.пр.66А'!F5+'К.пр66Б'!F5+'К.пр66В'!F5+'К.пр76А'!F5+'К.пр78Б'!F5+'К.пр.82А'!F5+'250лет10'!F5+'40лет29'!F5+'40лет29А'!F5+'40лет29Б'!F5+'40лет29В'!F5+'40лет29Д'!F5+'40летПоб31'!F5+'40лет31Б'!F5+'40лет31В'!F5+'40лет33'!F5+'40лет33А'!F5+'40лет33Б'!F5+'40летПоб35'!F5+'40лет35А'!F5+'К.пр76'!F5</f>
        <v>213371.47000000003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22">
        <f>'В13'!F6+'В52А'!F6+'Г28Б'!F6+Лен29А!F6+Лен42!F6+'Св.пр58А'!F6+Мон31!F6+Мон33!F6+Мон35!F6+'Цв.59А'!F6+энг26А!F6+Зах3В!F6+'К.пр60А'!F6+'К.пр62А'!F6+'К.пр62Б'!F6+'К.пр.66А'!F6+'К.пр66Б'!F6+'К.пр66В'!F6+'К.пр76А'!F6+'К.пр78Б'!F6+'К.пр.82А'!F6+'250лет10'!F6+'40лет29'!F6+'40лет29А'!F6+'40лет29Б'!F6+'40лет29В'!F6+'40лет29Д'!F6+'40летПоб31'!F6+'40лет31Б'!F6+'40лет31В'!F6+'40лет33'!F6+'40лет33А'!F6+'40лет33Б'!F6+'40летПоб35'!F6+'40лет35А'!F6+'К.пр76'!F6</f>
        <v>21568.6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22">
        <f>'В13'!F7+'В52А'!F7+'Г28Б'!F7+Лен29А!F7+Лен42!F7+'Св.пр58А'!F7+Мон31!F7+Мон33!F7+Мон35!F7+'Цв.59А'!F7+энг26А!F7+Зах3В!F7+'К.пр60А'!F7+'К.пр62А'!F7+'К.пр62Б'!F7+'К.пр.66А'!F7+'К.пр66Б'!F7+'К.пр66В'!F7+'К.пр76А'!F7+'К.пр78Б'!F7+'К.пр.82А'!F7+'250лет10'!F7+'40лет29'!F7+'40лет29А'!F7+'40лет29Б'!F7+'40лет29В'!F7+'40лет29Д'!F7+'40летПоб31'!F7+'40лет31Б'!F7+'40лет31В'!F7+'40лет33'!F7+'40лет33А'!F7+'40лет33Б'!F7+'40летПоб35'!F7+'40лет35А'!F7+'К.пр76'!F7</f>
        <v>234940.07000000004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22">
        <f>'В13'!F8+'В52А'!F8+'Г28Б'!F8+Лен29А!F8+Лен42!F8+'Св.пр58А'!F8+Мон31!F8+Мон33!F8+Мон35!F8+'Цв.59А'!F8+энг26А!F8+Зах3В!F8+'К.пр60А'!F8+'К.пр62А'!F8+'К.пр62Б'!F8+'К.пр.66А'!F8+'К.пр66Б'!F8+'К.пр66В'!F8+'К.пр76А'!F8+'К.пр78Б'!F8+'К.пр.82А'!F8+'250лет10'!F8+'40лет29'!F8+'40лет29А'!F8+'40лет29Б'!F8+'40лет29В'!F8+'40лет29Д'!F8+'40летПоб31'!F8+'40лет31Б'!F8+'40лет31В'!F8+'40лет33'!F8+'40лет33А'!F8+'40лет33Б'!F8+'40летПоб35'!F8+'40лет35А'!F8+'К.пр76'!F8</f>
        <v>5112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22">
        <f>'В13'!F9+'В52А'!F9+'Г28Б'!F9+Лен29А!F9+Лен42!F9+'Св.пр58А'!F9+Мон31!F9+Мон33!F9+Мон35!F9+'Цв.59А'!F9+энг26А!F9+Зах3В!F9+'К.пр60А'!F9+'К.пр62А'!F9+'К.пр62Б'!F9+'К.пр.66А'!F9+'К.пр66Б'!F9+'К.пр66В'!F9+'К.пр76А'!F9+'К.пр78Б'!F9+'К.пр.82А'!F9+'250лет10'!F9+'40лет29'!F9+'40лет29А'!F9+'40лет29Б'!F9+'40лет29В'!F9+'40лет29Д'!F9+'40летПоб31'!F9+'40лет31Б'!F9+'40лет31В'!F9+'40лет33'!F9+'40лет33А'!F9+'40лет33Б'!F9+'40летПоб35'!F9+'40лет35А'!F9+'К.пр76'!F9</f>
        <v>30708.500000000004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156"/>
      <c r="C12" s="144" t="s">
        <v>28</v>
      </c>
      <c r="D12" s="145"/>
      <c r="E12" s="146"/>
      <c r="F12" s="147" t="s">
        <v>30</v>
      </c>
      <c r="G12" s="148"/>
      <c r="H12" s="149"/>
      <c r="I12" s="150" t="s">
        <v>83</v>
      </c>
      <c r="J12" s="151"/>
      <c r="K12" s="152"/>
      <c r="L12" s="153" t="s">
        <v>31</v>
      </c>
      <c r="M12" s="154"/>
      <c r="N12" s="155"/>
      <c r="O12" s="142" t="s">
        <v>4</v>
      </c>
    </row>
    <row r="13" spans="1:15" ht="64.5" customHeight="1">
      <c r="A13" s="104"/>
      <c r="B13" s="157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43"/>
    </row>
    <row r="14" spans="1:15" ht="12.75">
      <c r="A14" s="38" t="s">
        <v>14</v>
      </c>
      <c r="B14" s="71"/>
      <c r="C14" s="19">
        <f>'В13'!C14+'В52А'!C14+'Г28Б'!C14+Лен29А!C14+Лен42!C14+'Св.пр58А'!C14+Мон31!C14+Мон33!C14+Мон35!C14+'Цв.59А'!C14+энг26А!C14+Зах3В!C14+'К.пр60А'!C14+'К.пр62А'!C14+'К.пр62Б'!C14+'К.пр.66А'!C14+'К.пр66Б'!C14+'К.пр66В'!C14+'К.пр76А'!C14+'К.пр78Б'!C14+'К.пр.82А'!C14+'250лет10'!C14+'40лет29'!C14+'40лет29А'!C14+'40лет29Б'!C14+'40лет29В'!C14+'40лет29Д'!C14+'40летПоб31'!C14+'40лет31Б'!C14+'40лет31В'!C14+'40лет33'!C14+'40лет33А'!C14+'40лет33Б'!C14+'40летПоб35'!C14+'40лет35А'!C14+'К.пр76'!C14</f>
        <v>0</v>
      </c>
      <c r="D14" s="19">
        <f>'В13'!D14+'В52А'!D14+'Г28Б'!D14+Лен29А!D14+Лен42!D14+'Св.пр58А'!D14+Мон31!D14+Мон33!D14+Мон35!D14+'Цв.59А'!D14+энг26А!D14+Зах3В!D14+'К.пр60А'!D14+'К.пр62А'!D14+'К.пр62Б'!D14+'К.пр.66А'!D14+'К.пр66Б'!D14+'К.пр66В'!D14+'К.пр76А'!D14+'К.пр78Б'!D14+'К.пр.82А'!D14+'250лет10'!D14+'40лет29'!D14+'40лет29А'!D14+'40лет29Б'!D14+'40лет29В'!D14+'40лет29Д'!D14+'40летПоб31'!D14+'40лет31Б'!D14+'40лет31В'!D14+'40лет33'!D14+'40лет33А'!D14+'40лет33Б'!D14+'40летПоб35'!D14+'40лет35А'!D14+'К.пр76'!D14</f>
        <v>0</v>
      </c>
      <c r="E14" s="70">
        <f>SUM(C14:D14)</f>
        <v>0</v>
      </c>
      <c r="F14" s="19">
        <f>'В13'!F14+'В52А'!F14+'Г28Б'!F14+Лен29А!F14+Лен42!F14+'Св.пр58А'!F14+Мон31!F14+Мон33!F14+Мон35!F14+'Цв.59А'!F14+энг26А!F14+Зах3В!F14+'К.пр60А'!F14+'К.пр62А'!F14+'К.пр62Б'!F14+'К.пр.66А'!F14+'К.пр66Б'!F14+'К.пр66В'!F14+'К.пр76А'!F14+'К.пр78Б'!F14+'К.пр.82А'!F14+'250лет10'!F14+'40лет29'!F14+'40лет29А'!F14+'40лет29Б'!F14+'40лет29В'!F14+'40лет29Д'!F14+'40летПоб31'!F14+'40лет31Б'!F14+'40лет31В'!F14+'40лет33'!F14+'40лет33А'!F14+'40лет33Б'!F14+'40летПоб35'!F14+'40лет35А'!F14+'К.пр76'!F14</f>
        <v>0</v>
      </c>
      <c r="G14" s="19">
        <f>'В13'!G14+'В52А'!G14+'Г28Б'!G14+Лен29А!G14+Лен42!G14+'Св.пр58А'!G14+Мон31!G14+Мон33!G14+Мон35!G14+'Цв.59А'!G14+энг26А!G14+Зах3В!G14+'К.пр60А'!G14+'К.пр62А'!G14+'К.пр62Б'!G14+'К.пр.66А'!G14+'К.пр66Б'!G14+'К.пр66В'!G14+'К.пр76А'!G14+'К.пр78Б'!G14+'К.пр.82А'!G14+'250лет10'!G14+'40лет29'!G14+'40лет29А'!G14+'40лет29Б'!G14+'40лет29В'!G14+'40лет29Д'!G14+'40летПоб31'!G14+'40лет31Б'!G14+'40лет31В'!G14+'40лет33'!G14+'40лет33А'!G14+'40лет33Б'!G14+'40летПоб35'!G14+'40лет35А'!G14+'К.пр76'!G14</f>
        <v>0</v>
      </c>
      <c r="H14" s="70">
        <f>F14+G14</f>
        <v>0</v>
      </c>
      <c r="I14" s="19">
        <f>'В13'!I14+'В52А'!I14+'Г28Б'!I14+Лен29А!I14+Лен42!I14+'Св.пр58А'!I14+Мон31!I14+Мон33!I14+Мон35!I14+'Цв.59А'!I14+энг26А!I14+Зах3В!I14+'К.пр60А'!I14+'К.пр62А'!I14+'К.пр62Б'!I14+'К.пр.66А'!I14+'К.пр66Б'!I14+'К.пр66В'!I14+'К.пр76А'!I14+'К.пр78Б'!I14+'К.пр.82А'!I14+'250лет10'!I14+'40лет29'!I14+'40лет29А'!I14+'40лет29Б'!I14+'40лет29В'!I14+'40лет29Д'!I14+'40летПоб31'!I14+'40лет31Б'!I14+'40лет31В'!I14+'40лет33'!I14+'40лет33А'!I14+'40лет33Б'!I14+'40летПоб35'!I14+'40лет35А'!I14+'К.пр76'!I14</f>
        <v>0</v>
      </c>
      <c r="J14" s="19">
        <f>'В13'!J14+'В52А'!J14+'Г28Б'!J14+Лен29А!J14+Лен42!J14+'Св.пр58А'!J14+Мон31!J14+Мон33!J14+Мон35!J14+'Цв.59А'!J14+энг26А!J14+Зах3В!J14+'К.пр60А'!J14+'К.пр62А'!J14+'К.пр62Б'!J14+'К.пр.66А'!J14+'К.пр66Б'!J14+'К.пр66В'!J14+'К.пр76А'!J14+'К.пр78Б'!J14+'К.пр.82А'!J14+'250лет10'!J14+'40лет29'!J14+'40лет29А'!J14+'40лет29Б'!J14+'40лет29В'!J14+'40лет29Д'!J14+'40летПоб31'!J14+'40лет31Б'!J14+'40лет31В'!J14+'40лет33'!J14+'40лет33А'!J14+'40лет33Б'!J14+'40летПоб35'!J14+'40лет35А'!J14+'К.пр76'!J14</f>
        <v>0</v>
      </c>
      <c r="K14" s="70">
        <f>I14+J14</f>
        <v>0</v>
      </c>
      <c r="L14" s="19">
        <f>'В13'!L14+'В52А'!L14+'Г28Б'!L14+Лен29А!L14+Лен42!L14+'Св.пр58А'!L14+Мон31!L14+Мон33!L14+Мон35!L14+'Цв.59А'!L14+энг26А!L14+Зах3В!L14+'К.пр60А'!L14+'К.пр62А'!L14+'К.пр62Б'!L14+'К.пр.66А'!L14+'К.пр66Б'!L14+'К.пр66В'!L14+'К.пр76А'!L14+'К.пр78Б'!L14+'К.пр.82А'!L14+'250лет10'!L14+'40лет29'!L14+'40лет29А'!L14+'40лет29Б'!L14+'40лет29В'!L14+'40лет29Д'!L14+'40летПоб31'!L14+'40лет31Б'!L14+'40лет31В'!L14+'40лет33'!L14+'40лет33А'!L14+'40лет33Б'!L14+'40летПоб35'!L14+'40лет35А'!L14+'К.пр76'!L14</f>
        <v>0</v>
      </c>
      <c r="M14" s="19">
        <f>'В13'!M14+'В52А'!M14+'Г28Б'!M14+Лен29А!M14+Лен42!M14+'Св.пр58А'!M14+Мон31!M14+Мон33!M14+Мон35!M14+'Цв.59А'!M14+энг26А!M14+Зах3В!M14+'К.пр60А'!M14+'К.пр62А'!M14+'К.пр62Б'!M14+'К.пр.66А'!M14+'К.пр66Б'!M14+'К.пр66В'!M14+'К.пр76А'!M14+'К.пр78Б'!M14+'К.пр.82А'!M14+'250лет10'!M14+'40лет29'!M14+'40лет29А'!M14+'40лет29Б'!M14+'40лет29В'!M14+'40лет29Д'!M14+'40летПоб31'!M14+'40лет31Б'!M14+'40лет31В'!M14+'40лет33'!M14+'40лет33А'!M14+'40лет33Б'!M14+'40летПоб35'!M14+'40лет35А'!M14+'К.пр76'!M14</f>
        <v>0</v>
      </c>
      <c r="N14" s="70">
        <f>L14+M14</f>
        <v>0</v>
      </c>
      <c r="O14" s="72">
        <f>'В13'!O14+'В52А'!O14+'Г28Б'!O14+Лен29А!O14+Лен42!O14+'Св.пр58А'!O14+Мон31!O14+Мон33!O14+Мон35!O14+'Цв.59А'!O14+энг26А!O14+Зах3В!O14+'К.пр60А'!O14+'К.пр62А'!O14+'К.пр62Б'!O14+'К.пр.66А'!O14+'К.пр66Б'!O14+'К.пр66В'!O14+'К.пр76А'!O14+'К.пр78Б'!O14+'К.пр.82А'!O14+'250лет10'!O14+'40лет29'!O14+'40лет29А'!O14+'40лет29Б'!O14+'40лет29В'!O14+'40лет29Д'!O14+'40летПоб31'!O14+'40лет31Б'!O14+'40лет31В'!O14+'40лет33'!O14+'40лет33А'!O14+'40лет33Б'!O14+'40летПоб35'!O14+'40лет35А'!O14+'К.пр76'!O14</f>
        <v>0</v>
      </c>
    </row>
    <row r="15" spans="1:15" ht="12.75" customHeight="1" hidden="1" outlineLevel="1">
      <c r="A15" s="38" t="s">
        <v>26</v>
      </c>
      <c r="B15" s="71"/>
      <c r="C15" s="19">
        <f>'В13'!C15+'В52А'!C15+'Г28Б'!C15+Лен29А!C15+Лен42!C15+'Св.пр58А'!C15+Мон31!C15+Мон33!C15+Мон35!C15+'Цв.59А'!C15+энг26А!C15+Зах3В!C15+'К.пр60А'!C15+'К.пр62А'!C15+'К.пр62Б'!C15+'К.пр.66А'!C15+'К.пр66Б'!C15+'К.пр66В'!C15+'К.пр76А'!C15+'К.пр78Б'!C15+'К.пр.82А'!C15+'250лет10'!C15+'40лет29'!C15+'40лет29А'!C15+'40лет29Б'!C15+'40лет29В'!C15+'40лет29Д'!C15+'40летПоб31'!C15+'40лет31Б'!C15+'40лет31В'!C15+'40лет33'!C15+'40лет33А'!C15+'40лет33Б'!C15+'40летПоб35'!C15+'40лет35А'!C15+'К.пр76'!C15</f>
        <v>0</v>
      </c>
      <c r="D15" s="19">
        <f>'В13'!D15+'В52А'!D15+'Г28Б'!D15+Лен29А!D15+Лен42!D15+'Св.пр58А'!D15+Мон31!D15+Мон33!D15+Мон35!D15+'Цв.59А'!D15+энг26А!D15+Зах3В!D15+'К.пр60А'!D15+'К.пр62А'!D15+'К.пр62Б'!D15+'К.пр.66А'!D15+'К.пр66Б'!D15+'К.пр66В'!D15+'К.пр76А'!D15+'К.пр78Б'!D15+'К.пр.82А'!D15+'250лет10'!D15+'40лет29'!D15+'40лет29А'!D15+'40лет29Б'!D15+'40лет29В'!D15+'40лет29Д'!D15+'40летПоб31'!D15+'40лет31Б'!D15+'40лет31В'!D15+'40лет33'!D15+'40лет33А'!D15+'40лет33Б'!D15+'40летПоб35'!D15+'40лет35А'!D15+'К.пр76'!D15</f>
        <v>0</v>
      </c>
      <c r="E15" s="70">
        <f>SUM(C15:D15)</f>
        <v>0</v>
      </c>
      <c r="F15" s="19">
        <f>'В13'!F15+'В52А'!F15+'Г28Б'!F15+Лен29А!F15+Лен42!F15+'Св.пр58А'!F15+Мон31!F15+Мон33!F15+Мон35!F15+'Цв.59А'!F15+энг26А!F15+Зах3В!F15+'К.пр60А'!F15+'К.пр62А'!F15+'К.пр62Б'!F15+'К.пр.66А'!F15+'К.пр66Б'!F15+'К.пр66В'!F15+'К.пр76А'!F15+'К.пр78Б'!F15+'К.пр.82А'!F15+'250лет10'!F15+'40лет29'!F15+'40лет29А'!F15+'40лет29Б'!F15+'40лет29В'!F15+'40лет29Д'!F15+'40летПоб31'!F15+'40лет31Б'!F15+'40лет31В'!F15+'40лет33'!F15+'40лет33А'!F15+'40лет33Б'!F15+'40летПоб35'!F15+'40лет35А'!F15+'К.пр76'!F15</f>
        <v>0</v>
      </c>
      <c r="G15" s="19">
        <f>'В13'!G15+'В52А'!G15+'Г28Б'!G15+Лен29А!G15+Лен42!G15+'Св.пр58А'!G15+Мон31!G15+Мон33!G15+Мон35!G15+'Цв.59А'!G15+энг26А!G15+Зах3В!G15+'К.пр60А'!G15+'К.пр62А'!G15+'К.пр62Б'!G15+'К.пр.66А'!G15+'К.пр66Б'!G15+'К.пр66В'!G15+'К.пр76А'!G15+'К.пр78Б'!G15+'К.пр.82А'!G15+'250лет10'!G15+'40лет29'!G15+'40лет29А'!G15+'40лет29Б'!G15+'40лет29В'!G15+'40лет29Д'!G15+'40летПоб31'!G15+'40лет31Б'!G15+'40лет31В'!G15+'40лет33'!G15+'40лет33А'!G15+'40лет33Б'!G15+'40летПоб35'!G15+'40лет35А'!G15+'К.пр76'!G15</f>
        <v>0</v>
      </c>
      <c r="H15" s="70">
        <f>F15+G15</f>
        <v>0</v>
      </c>
      <c r="I15" s="19">
        <f>'В13'!I15+'В52А'!I15+'Г28Б'!I15+Лен29А!I15+Лен42!I15+'Св.пр58А'!I15+Мон31!I15+Мон33!I15+Мон35!I15+'Цв.59А'!I15+энг26А!I15+Зах3В!I15+'К.пр60А'!I15+'К.пр62А'!I15+'К.пр62Б'!I15+'К.пр.66А'!I15+'К.пр66Б'!I15+'К.пр66В'!I15+'К.пр76А'!I15+'К.пр78Б'!I15+'К.пр.82А'!I15+'250лет10'!I15+'40лет29'!I15+'40лет29А'!I15+'40лет29Б'!I15+'40лет29В'!I15+'40лет29Д'!I15+'40летПоб31'!I15+'40лет31Б'!I15+'40лет31В'!I15+'40лет33'!I15+'40лет33А'!I15+'40лет33Б'!I15+'40летПоб35'!I15+'40лет35А'!I15+'К.пр76'!I15</f>
        <v>0</v>
      </c>
      <c r="J15" s="19">
        <f>'В13'!J15+'В52А'!J15+'Г28Б'!J15+Лен29А!J15+Лен42!J15+'Св.пр58А'!J15+Мон31!J15+Мон33!J15+Мон35!J15+'Цв.59А'!J15+энг26А!J15+Зах3В!J15+'К.пр60А'!J15+'К.пр62А'!J15+'К.пр62Б'!J15+'К.пр.66А'!J15+'К.пр66Б'!J15+'К.пр66В'!J15+'К.пр76А'!J15+'К.пр78Б'!J15+'К.пр.82А'!J15+'250лет10'!J15+'40лет29'!J15+'40лет29А'!J15+'40лет29Б'!J15+'40лет29В'!J15+'40лет29Д'!J15+'40летПоб31'!J15+'40лет31Б'!J15+'40лет31В'!J15+'40лет33'!J15+'40лет33А'!J15+'40лет33Б'!J15+'40летПоб35'!J15+'40лет35А'!J15+'К.пр76'!J15</f>
        <v>0</v>
      </c>
      <c r="K15" s="70">
        <f aca="true" t="shared" si="0" ref="K15:K27">I15+J15</f>
        <v>0</v>
      </c>
      <c r="L15" s="19">
        <f>'В13'!L15+'В52А'!L15+'Г28Б'!L15+Лен29А!L15+Лен42!L15+'Св.пр58А'!L15+Мон31!L15+Мон33!L15+Мон35!L15+'Цв.59А'!L15+энг26А!L15+Зах3В!L15+'К.пр60А'!L15+'К.пр62А'!L15+'К.пр62Б'!L15+'К.пр.66А'!L15+'К.пр66Б'!L15+'К.пр66В'!L15+'К.пр76А'!L15+'К.пр78Б'!L15+'К.пр.82А'!L15+'250лет10'!L15+'40лет29'!L15+'40лет29А'!L15+'40лет29Б'!L15+'40лет29В'!L15+'40лет29Д'!L15+'40летПоб31'!L15+'40лет31Б'!L15+'40лет31В'!L15+'40лет33'!L15+'40лет33А'!L15+'40лет33Б'!L15+'40летПоб35'!L15+'40лет35А'!L15+'К.пр76'!L15</f>
        <v>0</v>
      </c>
      <c r="M15" s="19">
        <f>'В13'!M15+'В52А'!M15+'Г28Б'!M15+Лен29А!M15+Лен42!M15+'Св.пр58А'!M15+Мон31!M15+Мон33!M15+Мон35!M15+'Цв.59А'!M15+энг26А!M15+Зах3В!M15+'К.пр60А'!M15+'К.пр62А'!M15+'К.пр62Б'!M15+'К.пр.66А'!M15+'К.пр66Б'!M15+'К.пр66В'!M15+'К.пр76А'!M15+'К.пр78Б'!M15+'К.пр.82А'!M15+'250лет10'!M15+'40лет29'!M15+'40лет29А'!M15+'40лет29Б'!M15+'40лет29В'!M15+'40лет29Д'!M15+'40летПоб31'!M15+'40лет31Б'!M15+'40лет31В'!M15+'40лет33'!M15+'40лет33А'!M15+'40лет33Б'!M15+'40летПоб35'!M15+'40лет35А'!M15+'К.пр76'!M15</f>
        <v>0</v>
      </c>
      <c r="N15" s="70">
        <f aca="true" t="shared" si="1" ref="N15:N27">L15+M15</f>
        <v>0</v>
      </c>
      <c r="O15" s="72">
        <f>'В13'!O15+'В52А'!O15+'Г28Б'!O15+Лен29А!O15+Лен42!O15+'Св.пр58А'!O15+Мон31!O15+Мон33!O15+Мон35!O15+'Цв.59А'!O15+энг26А!O15+Зах3В!O15+'К.пр60А'!O15+'К.пр62А'!O15+'К.пр62Б'!O15+'К.пр.66А'!O15+'К.пр66Б'!O15+'К.пр66В'!O15+'К.пр76А'!O15+'К.пр78Б'!O15+'К.пр.82А'!O15+'250лет10'!O15+'40лет29'!O15+'40лет29А'!O15+'40лет29Б'!O15+'40лет29В'!O15+'40лет29Д'!O15+'40летПоб31'!O15+'40лет31Б'!O15+'40лет31В'!O15+'40лет33'!O15+'40лет33А'!O15+'40лет33Б'!O15+'40летПоб35'!O15+'40лет35А'!O15+'К.пр76'!O15</f>
        <v>0</v>
      </c>
    </row>
    <row r="16" spans="1:15" ht="24" collapsed="1">
      <c r="A16" s="39" t="s">
        <v>9</v>
      </c>
      <c r="B16" s="71"/>
      <c r="C16" s="19">
        <f>'В13'!C16+'В52А'!C16+'Г28Б'!C16+Лен29А!C16+Лен42!C16+'Св.пр58А'!C16+Мон31!C16+Мон33!C16+Мон35!C16+'Цв.59А'!C16+энг26А!C16+Зах3В!C16+'К.пр60А'!C16+'К.пр62А'!C16+'К.пр62Б'!C16+'К.пр.66А'!C16+'К.пр66Б'!C16+'К.пр66В'!C16+'К.пр76А'!C16+'К.пр78Б'!C16+'К.пр.82А'!C16+'250лет10'!C16+'40лет29'!C16+'40лет29А'!C16+'40лет29Б'!C16+'40лет29В'!C16+'40лет29Д'!C16+'40летПоб31'!C16+'40лет31Б'!C16+'40лет31В'!C16+'40лет33'!C16+'40лет33А'!C16+'40лет33Б'!C16+'40летПоб35'!C16+'40лет35А'!C16+'К.пр76'!C16</f>
        <v>493768.25000000006</v>
      </c>
      <c r="D16" s="19">
        <f>'В13'!D16+'В52А'!D16+'Г28Б'!D16+Лен29А!D16+Лен42!D16+'Св.пр58А'!D16+Мон31!D16+Мон33!D16+Мон35!D16+'Цв.59А'!D16+энг26А!D16+Зах3В!D16+'К.пр60А'!D16+'К.пр62А'!D16+'К.пр62Б'!D16+'К.пр.66А'!D16+'К.пр66Б'!D16+'К.пр66В'!D16+'К.пр76А'!D16+'К.пр78Б'!D16+'К.пр.82А'!D16+'250лет10'!D16+'40лет29'!D16+'40лет29А'!D16+'40лет29Б'!D16+'40лет29В'!D16+'40лет29Д'!D16+'40летПоб31'!D16+'40лет31Б'!D16+'40лет31В'!D16+'40лет33'!D16+'40лет33А'!D16+'40лет33Б'!D16+'40летПоб35'!D16+'40лет35А'!D16+'К.пр76'!D16</f>
        <v>-227.48000000000002</v>
      </c>
      <c r="E16" s="70">
        <f>SUM(C16:D16)</f>
        <v>493540.7700000001</v>
      </c>
      <c r="F16" s="19">
        <f>'В13'!F16+'В52А'!F16+'Г28Б'!F16+Лен29А!F16+Лен42!F16+'Св.пр58А'!F16+Мон31!F16+Мон33!F16+Мон35!F16+'Цв.59А'!F16+энг26А!F16+Зах3В!F16+'К.пр60А'!F16+'К.пр62А'!F16+'К.пр62Б'!F16+'К.пр.66А'!F16+'К.пр66Б'!F16+'К.пр66В'!F16+'К.пр76А'!F16+'К.пр78Б'!F16+'К.пр.82А'!F16+'250лет10'!F16+'40лет29'!F16+'40лет29А'!F16+'40лет29Б'!F16+'40лет29В'!F16+'40лет29Д'!F16+'40летПоб31'!F16+'40лет31Б'!F16+'40лет31В'!F16+'40лет33'!F16+'40лет33А'!F16+'40лет33Б'!F16+'40летПоб35'!F16+'40лет35А'!F16+'К.пр76'!F16</f>
        <v>-7930.72</v>
      </c>
      <c r="G16" s="19">
        <f>'В13'!G16+'В52А'!G16+'Г28Б'!G16+Лен29А!G16+Лен42!G16+'Св.пр58А'!G16+Мон31!G16+Мон33!G16+Мон35!G16+'Цв.59А'!G16+энг26А!G16+Зах3В!G16+'К.пр60А'!G16+'К.пр62А'!G16+'К.пр62Б'!G16+'К.пр.66А'!G16+'К.пр66Б'!G16+'К.пр66В'!G16+'К.пр76А'!G16+'К.пр78Б'!G16+'К.пр.82А'!G16+'250лет10'!G16+'40лет29'!G16+'40лет29А'!G16+'40лет29Б'!G16+'40лет29В'!G16+'40лет29Д'!G16+'40летПоб31'!G16+'40лет31Б'!G16+'40лет31В'!G16+'40лет33'!G16+'40лет33А'!G16+'40лет33Б'!G16+'40летПоб35'!G16+'40лет35А'!G16+'К.пр76'!G16</f>
        <v>0</v>
      </c>
      <c r="H16" s="70">
        <f>F16+G16</f>
        <v>-7930.72</v>
      </c>
      <c r="I16" s="19">
        <f>'В13'!I16+'В52А'!I16+'Г28Б'!I16+Лен29А!I16+Лен42!I16+'Св.пр58А'!I16+Мон31!I16+Мон33!I16+Мон35!I16+'Цв.59А'!I16+энг26А!I16+Зах3В!I16+'К.пр60А'!I16+'К.пр62А'!I16+'К.пр62Б'!I16+'К.пр.66А'!I16+'К.пр66Б'!I16+'К.пр66В'!I16+'К.пр76А'!I16+'К.пр78Б'!I16+'К.пр.82А'!I16+'250лет10'!I16+'40лет29'!I16+'40лет29А'!I16+'40лет29Б'!I16+'40лет29В'!I16+'40лет29Д'!I16+'40летПоб31'!I16+'40лет31Б'!I16+'40лет31В'!I16+'40лет33'!I16+'40лет33А'!I16+'40лет33Б'!I16+'40летПоб35'!I16+'40лет35А'!I16+'К.пр76'!I16</f>
        <v>359438.69</v>
      </c>
      <c r="J16" s="19">
        <f>'В13'!J16+'В52А'!J16+'Г28Б'!J16+Лен29А!J16+Лен42!J16+'Св.пр58А'!J16+Мон31!J16+Мон33!J16+Мон35!J16+'Цв.59А'!J16+энг26А!J16+Зах3В!J16+'К.пр60А'!J16+'К.пр62А'!J16+'К.пр62Б'!J16+'К.пр.66А'!J16+'К.пр66Б'!J16+'К.пр66В'!J16+'К.пр76А'!J16+'К.пр78Б'!J16+'К.пр.82А'!J16+'250лет10'!J16+'40лет29'!J16+'40лет29А'!J16+'40лет29Б'!J16+'40лет29В'!J16+'40лет29Д'!J16+'40летПоб31'!J16+'40лет31Б'!J16+'40лет31В'!J16+'40лет33'!J16+'40лет33А'!J16+'40лет33Б'!J16+'40летПоб35'!J16+'40лет35А'!J16+'К.пр76'!J16</f>
        <v>0</v>
      </c>
      <c r="K16" s="70">
        <f t="shared" si="0"/>
        <v>359438.69</v>
      </c>
      <c r="L16" s="19">
        <f>'В13'!L16+'В52А'!L16+'Г28Б'!L16+Лен29А!L16+Лен42!L16+'Св.пр58А'!L16+Мон31!L16+Мон33!L16+Мон35!L16+'Цв.59А'!L16+энг26А!L16+Зах3В!L16+'К.пр60А'!L16+'К.пр62А'!L16+'К.пр62Б'!L16+'К.пр.66А'!L16+'К.пр66Б'!L16+'К.пр66В'!L16+'К.пр76А'!L16+'К.пр78Б'!L16+'К.пр.82А'!L16+'250лет10'!L16+'40лет29'!L16+'40лет29А'!L16+'40лет29Б'!L16+'40лет29В'!L16+'40лет29Д'!L16+'40летПоб31'!L16+'40лет31Б'!L16+'40лет31В'!L16+'40лет33'!L16+'40лет33А'!L16+'40лет33Б'!L16+'40летПоб35'!L16+'40лет35А'!L16+'К.пр76'!L16</f>
        <v>126398.84000000005</v>
      </c>
      <c r="M16" s="19">
        <f>'В13'!M16+'В52А'!M16+'Г28Б'!M16+Лен29А!M16+Лен42!M16+'Св.пр58А'!M16+Мон31!M16+Мон33!M16+Мон35!M16+'Цв.59А'!M16+энг26А!M16+Зах3В!M16+'К.пр60А'!M16+'К.пр62А'!M16+'К.пр62Б'!M16+'К.пр.66А'!M16+'К.пр66Б'!M16+'К.пр66В'!M16+'К.пр76А'!M16+'К.пр78Б'!M16+'К.пр.82А'!M16+'250лет10'!M16+'40лет29'!M16+'40лет29А'!M16+'40лет29Б'!M16+'40лет29В'!M16+'40лет29Д'!M16+'40летПоб31'!M16+'40лет31Б'!M16+'40лет31В'!M16+'40лет33'!M16+'40лет33А'!M16+'40лет33Б'!M16+'40летПоб35'!M16+'40лет35А'!M16+'К.пр76'!M16</f>
        <v>-227.48000000000002</v>
      </c>
      <c r="N16" s="70">
        <f t="shared" si="1"/>
        <v>126171.36000000006</v>
      </c>
      <c r="O16" s="72">
        <f>'В13'!O16+'В52А'!O16+'Г28Б'!O16+Лен29А!O16+Лен42!O16+'Св.пр58А'!O16+Мон31!O16+Мон33!O16+Мон35!O16+'Цв.59А'!O16+энг26А!O16+Зах3В!O16+'К.пр60А'!O16+'К.пр62А'!O16+'К.пр62Б'!O16+'К.пр.66А'!O16+'К.пр66Б'!O16+'К.пр66В'!O16+'К.пр76А'!O16+'К.пр78Б'!O16+'К.пр.82А'!O16+'250лет10'!O16+'40лет29'!O16+'40лет29А'!O16+'40лет29Б'!O16+'40лет29В'!O16+'40лет29Д'!O16+'40летПоб31'!O16+'40лет31Б'!O16+'40лет31В'!O16+'40лет33'!O16+'40лет33А'!O16+'40лет33Б'!O16+'40летПоб35'!O16+'40лет35А'!O16+'К.пр76'!O16</f>
        <v>0</v>
      </c>
    </row>
    <row r="17" spans="1:15" ht="12.75">
      <c r="A17" s="39" t="s">
        <v>16</v>
      </c>
      <c r="B17" s="71"/>
      <c r="C17" s="19">
        <f>'В13'!C17+'В52А'!C17+'Г28Б'!C17+Лен29А!C17+Лен42!C17+'Св.пр58А'!C17+Мон31!C17+Мон33!C17+Мон35!C17+'Цв.59А'!C17+энг26А!C17+Зах3В!C17+'К.пр60А'!C17+'К.пр62А'!C17+'К.пр62Б'!C17+'К.пр.66А'!C17+'К.пр66Б'!C17+'К.пр66В'!C17+'К.пр76А'!C17+'К.пр78Б'!C17+'К.пр.82А'!C17+'250лет10'!C17+'40лет29'!C17+'40лет29А'!C17+'40лет29Б'!C17+'40лет29В'!C17+'40лет29Д'!C17+'40летПоб31'!C17+'40лет31Б'!C17+'40лет31В'!C17+'40лет33'!C17+'40лет33А'!C17+'40лет33Б'!C17+'40летПоб35'!C17+'40лет35А'!C17+'К.пр76'!C17</f>
        <v>266733.51999999996</v>
      </c>
      <c r="D17" s="19">
        <f>'В13'!D17+'В52А'!D17+'Г28Б'!D17+Лен29А!D17+Лен42!D17+'Св.пр58А'!D17+Мон31!D17+Мон33!D17+Мон35!D17+'Цв.59А'!D17+энг26А!D17+Зах3В!D17+'К.пр60А'!D17+'К.пр62А'!D17+'К.пр62Б'!D17+'К.пр.66А'!D17+'К.пр66Б'!D17+'К.пр66В'!D17+'К.пр76А'!D17+'К.пр78Б'!D17+'К.пр.82А'!D17+'250лет10'!D17+'40лет29'!D17+'40лет29А'!D17+'40лет29Б'!D17+'40лет29В'!D17+'40лет29Д'!D17+'40летПоб31'!D17+'40лет31Б'!D17+'40лет31В'!D17+'40лет33'!D17+'40лет33А'!D17+'40лет33Б'!D17+'40летПоб35'!D17+'40лет35А'!D17+'К.пр76'!D17</f>
        <v>0</v>
      </c>
      <c r="E17" s="70">
        <f>SUM(C17:D17)</f>
        <v>266733.51999999996</v>
      </c>
      <c r="F17" s="19">
        <f>'В13'!F17+'В52А'!F17+'Г28Б'!F17+Лен29А!F17+Лен42!F17+'Св.пр58А'!F17+Мон31!F17+Мон33!F17+Мон35!F17+'Цв.59А'!F17+энг26А!F17+Зах3В!F17+'К.пр60А'!F17+'К.пр62А'!F17+'К.пр62Б'!F17+'К.пр.66А'!F17+'К.пр66Б'!F17+'К.пр66В'!F17+'К.пр76А'!F17+'К.пр78Б'!F17+'К.пр.82А'!F17+'250лет10'!F17+'40лет29'!F17+'40лет29А'!F17+'40лет29Б'!F17+'40лет29В'!F17+'40лет29Д'!F17+'40летПоб31'!F17+'40лет31Б'!F17+'40лет31В'!F17+'40лет33'!F17+'40лет33А'!F17+'40лет33Б'!F17+'40летПоб35'!F17+'40лет35А'!F17+'К.пр76'!F17</f>
        <v>1367575.02</v>
      </c>
      <c r="G17" s="19">
        <f>'В13'!G17+'В52А'!G17+'Г28Б'!G17+Лен29А!G17+Лен42!G17+'Св.пр58А'!G17+Мон31!G17+Мон33!G17+Мон35!G17+'Цв.59А'!G17+энг26А!G17+Зах3В!G17+'К.пр60А'!G17+'К.пр62А'!G17+'К.пр62Б'!G17+'К.пр.66А'!G17+'К.пр66Б'!G17+'К.пр66В'!G17+'К.пр76А'!G17+'К.пр78Б'!G17+'К.пр.82А'!G17+'250лет10'!G17+'40лет29'!G17+'40лет29А'!G17+'40лет29Б'!G17+'40лет29В'!G17+'40лет29Д'!G17+'40летПоб31'!G17+'40лет31Б'!G17+'40лет31В'!G17+'40лет33'!G17+'40лет33А'!G17+'40лет33Б'!G17+'40летПоб35'!G17+'40лет35А'!G17+'К.пр76'!G17</f>
        <v>0</v>
      </c>
      <c r="H17" s="70">
        <f aca="true" t="shared" si="2" ref="H17:H27">F17+G17</f>
        <v>1367575.02</v>
      </c>
      <c r="I17" s="19">
        <f>'В13'!I17+'В52А'!I17+'Г28Б'!I17+Лен29А!I17+Лен42!I17+'Св.пр58А'!I17+Мон31!I17+Мон33!I17+Мон35!I17+'Цв.59А'!I17+энг26А!I17+Зах3В!I17+'К.пр60А'!I17+'К.пр62А'!I17+'К.пр62Б'!I17+'К.пр.66А'!I17+'К.пр66Б'!I17+'К.пр66В'!I17+'К.пр76А'!I17+'К.пр78Б'!I17+'К.пр.82А'!I17+'250лет10'!I17+'40лет29'!I17+'40лет29А'!I17+'40лет29Б'!I17+'40лет29В'!I17+'40лет29Д'!I17+'40летПоб31'!I17+'40лет31Б'!I17+'40лет31В'!I17+'40лет33'!I17+'40лет33А'!I17+'40лет33Б'!I17+'40летПоб35'!I17+'40лет35А'!I17+'К.пр76'!I17</f>
        <v>1353702.43</v>
      </c>
      <c r="J17" s="19">
        <f>'В13'!J17+'В52А'!J17+'Г28Б'!J17+Лен29А!J17+Лен42!J17+'Св.пр58А'!J17+Мон31!J17+Мон33!J17+Мон35!J17+'Цв.59А'!J17+энг26А!J17+Зах3В!J17+'К.пр60А'!J17+'К.пр62А'!J17+'К.пр62Б'!J17+'К.пр.66А'!J17+'К.пр66Б'!J17+'К.пр66В'!J17+'К.пр76А'!J17+'К.пр78Б'!J17+'К.пр.82А'!J17+'250лет10'!J17+'40лет29'!J17+'40лет29А'!J17+'40лет29Б'!J17+'40лет29В'!J17+'40лет29Д'!J17+'40летПоб31'!J17+'40лет31Б'!J17+'40лет31В'!J17+'40лет33'!J17+'40лет33А'!J17+'40лет33Б'!J17+'40летПоб35'!J17+'40лет35А'!J17+'К.пр76'!J17</f>
        <v>0</v>
      </c>
      <c r="K17" s="70">
        <f t="shared" si="0"/>
        <v>1353702.43</v>
      </c>
      <c r="L17" s="19">
        <f>'В13'!L17+'В52А'!L17+'Г28Б'!L17+Лен29А!L17+Лен42!L17+'Св.пр58А'!L17+Мон31!L17+Мон33!L17+Мон35!L17+'Цв.59А'!L17+энг26А!L17+Зах3В!L17+'К.пр60А'!L17+'К.пр62А'!L17+'К.пр62Б'!L17+'К.пр.66А'!L17+'К.пр66Б'!L17+'К.пр66В'!L17+'К.пр76А'!L17+'К.пр78Б'!L17+'К.пр.82А'!L17+'250лет10'!L17+'40лет29'!L17+'40лет29А'!L17+'40лет29Б'!L17+'40лет29В'!L17+'40лет29Д'!L17+'40летПоб31'!L17+'40лет31Б'!L17+'40лет31В'!L17+'40лет33'!L17+'40лет33А'!L17+'40лет33Б'!L17+'40летПоб35'!L17+'40лет35А'!L17+'К.пр76'!L17</f>
        <v>280606.1100000001</v>
      </c>
      <c r="M17" s="19">
        <f>'В13'!M17+'В52А'!M17+'Г28Б'!M17+Лен29А!M17+Лен42!M17+'Св.пр58А'!M17+Мон31!M17+Мон33!M17+Мон35!M17+'Цв.59А'!M17+энг26А!M17+Зах3В!M17+'К.пр60А'!M17+'К.пр62А'!M17+'К.пр62Б'!M17+'К.пр.66А'!M17+'К.пр66Б'!M17+'К.пр66В'!M17+'К.пр76А'!M17+'К.пр78Б'!M17+'К.пр.82А'!M17+'250лет10'!M17+'40лет29'!M17+'40лет29А'!M17+'40лет29Б'!M17+'40лет29В'!M17+'40лет29Д'!M17+'40летПоб31'!M17+'40лет31Б'!M17+'40лет31В'!M17+'40лет33'!M17+'40лет33А'!M17+'40лет33Б'!M17+'40летПоб35'!M17+'40лет35А'!M17+'К.пр76'!M17</f>
        <v>0</v>
      </c>
      <c r="N17" s="70">
        <f t="shared" si="1"/>
        <v>280606.1100000001</v>
      </c>
      <c r="O17" s="72">
        <f>'В13'!O17+'В52А'!O17+'Г28Б'!O17+Лен29А!O17+Лен42!O17+'Св.пр58А'!O17+Мон31!O17+Мон33!O17+Мон35!O17+'Цв.59А'!O17+энг26А!O17+Зах3В!O17+'К.пр60А'!O17+'К.пр62А'!O17+'К.пр62Б'!O17+'К.пр.66А'!O17+'К.пр66Б'!O17+'К.пр66В'!O17+'К.пр76А'!O17+'К.пр78Б'!O17+'К.пр.82А'!O17+'250лет10'!O17+'40лет29'!O17+'40лет29А'!O17+'40лет29Б'!O17+'40лет29В'!O17+'40лет29Д'!O17+'40летПоб31'!O17+'40лет31Б'!O17+'40лет31В'!O17+'40лет33'!O17+'40лет33А'!O17+'40лет33Б'!O17+'40летПоб35'!O17+'40лет35А'!O17+'К.пр76'!O17</f>
        <v>1369381.1599999997</v>
      </c>
    </row>
    <row r="18" spans="1:15" ht="12.75">
      <c r="A18" s="38" t="s">
        <v>13</v>
      </c>
      <c r="B18" s="71"/>
      <c r="C18" s="19">
        <f>'В13'!C18+'В52А'!C18+'Г28Б'!C18+Лен29А!C18+Лен42!C18+'Св.пр58А'!C18+Мон31!C18+Мон33!C18+Мон35!C18+'Цв.59А'!C18+энг26А!C18+Зах3В!C18+'К.пр60А'!C18+'К.пр62А'!C18+'К.пр62Б'!C18+'К.пр.66А'!C18+'К.пр66Б'!C18+'К.пр66В'!C18+'К.пр76А'!C18+'К.пр78Б'!C18+'К.пр.82А'!C18+'250лет10'!C18+'40лет29'!C18+'40лет29А'!C18+'40лет29Б'!C18+'40лет29В'!C18+'40лет29Д'!C18+'40летПоб31'!C18+'40лет31Б'!C18+'40лет31В'!C18+'40лет33'!C18+'40лет33А'!C18+'40лет33Б'!C18+'40летПоб35'!C18+'40лет35А'!C18+'К.пр76'!C18</f>
        <v>1642849.56</v>
      </c>
      <c r="D18" s="19">
        <f>'В13'!D18+'В52А'!D18+'Г28Б'!D18+Лен29А!D18+Лен42!D18+'Св.пр58А'!D18+Мон31!D18+Мон33!D18+Мон35!D18+'Цв.59А'!D18+энг26А!D18+Зах3В!D18+'К.пр60А'!D18+'К.пр62А'!D18+'К.пр62Б'!D18+'К.пр.66А'!D18+'К.пр66Б'!D18+'К.пр66В'!D18+'К.пр76А'!D18+'К.пр78Б'!D18+'К.пр.82А'!D18+'250лет10'!D18+'40лет29'!D18+'40лет29А'!D18+'40лет29Б'!D18+'40лет29В'!D18+'40лет29Д'!D18+'40летПоб31'!D18+'40лет31Б'!D18+'40лет31В'!D18+'40лет33'!D18+'40лет33А'!D18+'40лет33Б'!D18+'40летПоб35'!D18+'40лет35А'!D18+'К.пр76'!D18</f>
        <v>0</v>
      </c>
      <c r="E18" s="70">
        <f aca="true" t="shared" si="3" ref="E18:E27">SUM(C18:D18)</f>
        <v>1642849.56</v>
      </c>
      <c r="F18" s="19">
        <f>'В13'!F18+'В52А'!F18+'Г28Б'!F18+Лен29А!F18+Лен42!F18+'Св.пр58А'!F18+Мон31!F18+Мон33!F18+Мон35!F18+'Цв.59А'!F18+энг26А!F18+Зах3В!F18+'К.пр60А'!F18+'К.пр62А'!F18+'К.пр62Б'!F18+'К.пр.66А'!F18+'К.пр66Б'!F18+'К.пр66В'!F18+'К.пр76А'!F18+'К.пр78Б'!F18+'К.пр.82А'!F18+'250лет10'!F18+'40лет29'!F18+'40лет29А'!F18+'40лет29Б'!F18+'40лет29В'!F18+'40лет29Д'!F18+'40летПоб31'!F18+'40лет31Б'!F18+'40лет31В'!F18+'40лет33'!F18+'40лет33А'!F18+'40лет33Б'!F18+'40летПоб35'!F18+'40лет35А'!F18+'К.пр76'!F18</f>
        <v>8605371.91</v>
      </c>
      <c r="G18" s="19">
        <f>'В13'!G18+'В52А'!G18+'Г28Б'!G18+Лен29А!G18+Лен42!G18+'Св.пр58А'!G18+Мон31!G18+Мон33!G18+Мон35!G18+'Цв.59А'!G18+энг26А!G18+Зах3В!G18+'К.пр60А'!G18+'К.пр62А'!G18+'К.пр62Б'!G18+'К.пр.66А'!G18+'К.пр66Б'!G18+'К.пр66В'!G18+'К.пр76А'!G18+'К.пр78Б'!G18+'К.пр.82А'!G18+'250лет10'!G18+'40лет29'!G18+'40лет29А'!G18+'40лет29Б'!G18+'40лет29В'!G18+'40лет29Д'!G18+'40летПоб31'!G18+'40лет31Б'!G18+'40лет31В'!G18+'40лет33'!G18+'40лет33А'!G18+'40лет33Б'!G18+'40летПоб35'!G18+'40лет35А'!G18+'К.пр76'!G18</f>
        <v>0</v>
      </c>
      <c r="H18" s="70">
        <f t="shared" si="2"/>
        <v>8605371.91</v>
      </c>
      <c r="I18" s="19">
        <f>'В13'!I18+'В52А'!I18+'Г28Б'!I18+Лен29А!I18+Лен42!I18+'Св.пр58А'!I18+Мон31!I18+Мон33!I18+Мон35!I18+'Цв.59А'!I18+энг26А!I18+Зах3В!I18+'К.пр60А'!I18+'К.пр62А'!I18+'К.пр62Б'!I18+'К.пр.66А'!I18+'К.пр66Б'!I18+'К.пр66В'!I18+'К.пр76А'!I18+'К.пр78Б'!I18+'К.пр.82А'!I18+'250лет10'!I18+'40лет29'!I18+'40лет29А'!I18+'40лет29Б'!I18+'40лет29В'!I18+'40лет29Д'!I18+'40летПоб31'!I18+'40лет31Б'!I18+'40лет31В'!I18+'40лет33'!I18+'40лет33А'!I18+'40лет33Б'!I18+'40летПоб35'!I18+'40лет35А'!I18+'К.пр76'!I18</f>
        <v>8513849.09</v>
      </c>
      <c r="J18" s="19">
        <f>'В13'!J18+'В52А'!J18+'Г28Б'!J18+Лен29А!J18+Лен42!J18+'Св.пр58А'!J18+Мон31!J18+Мон33!J18+Мон35!J18+'Цв.59А'!J18+энг26А!J18+Зах3В!J18+'К.пр60А'!J18+'К.пр62А'!J18+'К.пр62Б'!J18+'К.пр.66А'!J18+'К.пр66Б'!J18+'К.пр66В'!J18+'К.пр76А'!J18+'К.пр78Б'!J18+'К.пр.82А'!J18+'250лет10'!J18+'40лет29'!J18+'40лет29А'!J18+'40лет29Б'!J18+'40лет29В'!J18+'40лет29Д'!J18+'40летПоб31'!J18+'40лет31Б'!J18+'40лет31В'!J18+'40лет33'!J18+'40лет33А'!J18+'40лет33Б'!J18+'40летПоб35'!J18+'40лет35А'!J18+'К.пр76'!J18</f>
        <v>0</v>
      </c>
      <c r="K18" s="70">
        <f t="shared" si="0"/>
        <v>8513849.09</v>
      </c>
      <c r="L18" s="19">
        <f>'В13'!L18+'В52А'!L18+'Г28Б'!L18+Лен29А!L18+Лен42!L18+'Св.пр58А'!L18+Мон31!L18+Мон33!L18+Мон35!L18+'Цв.59А'!L18+энг26А!L18+Зах3В!L18+'К.пр60А'!L18+'К.пр62А'!L18+'К.пр62Б'!L18+'К.пр.66А'!L18+'К.пр66Б'!L18+'К.пр66В'!L18+'К.пр76А'!L18+'К.пр78Б'!L18+'К.пр.82А'!L18+'250лет10'!L18+'40лет29'!L18+'40лет29А'!L18+'40лет29Б'!L18+'40лет29В'!L18+'40лет29Д'!L18+'40летПоб31'!L18+'40лет31Б'!L18+'40лет31В'!L18+'40лет33'!L18+'40лет33А'!L18+'40лет33Б'!L18+'40летПоб35'!L18+'40лет35А'!L18+'К.пр76'!L18</f>
        <v>1734372.38</v>
      </c>
      <c r="M18" s="19">
        <f>'В13'!M18+'В52А'!M18+'Г28Б'!M18+Лен29А!M18+Лен42!M18+'Св.пр58А'!M18+Мон31!M18+Мон33!M18+Мон35!M18+'Цв.59А'!M18+энг26А!M18+Зах3В!M18+'К.пр60А'!M18+'К.пр62А'!M18+'К.пр62Б'!M18+'К.пр.66А'!M18+'К.пр66Б'!M18+'К.пр66В'!M18+'К.пр76А'!M18+'К.пр78Б'!M18+'К.пр.82А'!M18+'250лет10'!M18+'40лет29'!M18+'40лет29А'!M18+'40лет29Б'!M18+'40лет29В'!M18+'40лет29Д'!M18+'40летПоб31'!M18+'40лет31Б'!M18+'40лет31В'!M18+'40лет33'!M18+'40лет33А'!M18+'40лет33Б'!M18+'40летПоб35'!M18+'40лет35А'!M18+'К.пр76'!M18</f>
        <v>0</v>
      </c>
      <c r="N18" s="70">
        <f t="shared" si="1"/>
        <v>1734372.38</v>
      </c>
      <c r="O18" s="72">
        <f>'В13'!O18+'В52А'!O18+'Г28Б'!O18+Лен29А!O18+Лен42!O18+'Св.пр58А'!O18+Мон31!O18+Мон33!O18+Мон35!O18+'Цв.59А'!O18+энг26А!O18+Зах3В!O18+'К.пр60А'!O18+'К.пр62А'!O18+'К.пр62Б'!O18+'К.пр.66А'!O18+'К.пр66Б'!O18+'К.пр66В'!O18+'К.пр76А'!O18+'К.пр78Б'!O18+'К.пр.82А'!O18+'250лет10'!O18+'40лет29'!O18+'40лет29А'!O18+'40лет29Б'!O18+'40лет29В'!O18+'40лет29Д'!O18+'40летПоб31'!O18+'40лет31Б'!O18+'40лет31В'!O18+'40лет33'!O18+'40лет33А'!O18+'40лет33Б'!O18+'40летПоб35'!O18+'40лет35А'!O18+'К.пр76'!O18</f>
        <v>7216806.739999999</v>
      </c>
    </row>
    <row r="19" spans="1:15" ht="12.75" outlineLevel="1">
      <c r="A19" s="38" t="s">
        <v>15</v>
      </c>
      <c r="B19" s="71"/>
      <c r="C19" s="19">
        <f>'В13'!C19+'В52А'!C19+'Г28Б'!C19+Лен29А!C19+Лен42!C19+'Св.пр58А'!C19+Мон31!C19+Мон33!C19+Мон35!C19+'Цв.59А'!C19+энг26А!C19+Зах3В!C19+'К.пр60А'!C19+'К.пр62А'!C19+'К.пр62Б'!C19+'К.пр.66А'!C19+'К.пр66Б'!C19+'К.пр66В'!C19+'К.пр76А'!C19+'К.пр78Б'!C19+'К.пр.82А'!C19+'250лет10'!C19+'40лет29'!C19+'40лет29А'!C19+'40лет29Б'!C19+'40лет29В'!C19+'40лет29Д'!C19+'40летПоб31'!C19+'40лет31Б'!C19+'40лет31В'!C19+'40лет33'!C19+'40лет33А'!C19+'40лет33Б'!C19+'40летПоб35'!C19+'40лет35А'!C19+'К.пр76'!C19</f>
        <v>132377.14</v>
      </c>
      <c r="D19" s="19">
        <f>'В13'!D19+'В52А'!D19+'Г28Б'!D19+Лен29А!D19+Лен42!D19+'Св.пр58А'!D19+Мон31!D19+Мон33!D19+Мон35!D19+'Цв.59А'!D19+энг26А!D19+Зах3В!D19+'К.пр60А'!D19+'К.пр62А'!D19+'К.пр62Б'!D19+'К.пр.66А'!D19+'К.пр66Б'!D19+'К.пр66В'!D19+'К.пр76А'!D19+'К.пр78Б'!D19+'К.пр.82А'!D19+'250лет10'!D19+'40лет29'!D19+'40лет29А'!D19+'40лет29Б'!D19+'40лет29В'!D19+'40лет29Д'!D19+'40летПоб31'!D19+'40лет31Б'!D19+'40лет31В'!D19+'40лет33'!D19+'40лет33А'!D19+'40лет33Б'!D19+'40летПоб35'!D19+'40лет35А'!D19+'К.пр76'!D19</f>
        <v>0</v>
      </c>
      <c r="E19" s="70">
        <f t="shared" si="3"/>
        <v>132377.14</v>
      </c>
      <c r="F19" s="19">
        <f>'В13'!F19+'В52А'!F19+'Г28Б'!F19+Лен29А!F19+Лен42!F19+'Св.пр58А'!F19+Мон31!F19+Мон33!F19+Мон35!F19+'Цв.59А'!F19+энг26А!F19+Зах3В!F19+'К.пр60А'!F19+'К.пр62А'!F19+'К.пр62Б'!F19+'К.пр.66А'!F19+'К.пр66Б'!F19+'К.пр66В'!F19+'К.пр76А'!F19+'К.пр78Б'!F19+'К.пр.82А'!F19+'250лет10'!F19+'40лет29'!F19+'40лет29А'!F19+'40лет29Б'!F19+'40лет29В'!F19+'40лет29Д'!F19+'40летПоб31'!F19+'40лет31Б'!F19+'40лет31В'!F19+'40лет33'!F19+'40лет33А'!F19+'40лет33Б'!F19+'40летПоб35'!F19+'40лет35А'!F19+'К.пр76'!F19</f>
        <v>709182.6000000002</v>
      </c>
      <c r="G19" s="19">
        <f>'В13'!G19+'В52А'!G19+'Г28Б'!G19+Лен29А!G19+Лен42!G19+'Св.пр58А'!G19+Мон31!G19+Мон33!G19+Мон35!G19+'Цв.59А'!G19+энг26А!G19+Зах3В!G19+'К.пр60А'!G19+'К.пр62А'!G19+'К.пр62Б'!G19+'К.пр.66А'!G19+'К.пр66Б'!G19+'К.пр66В'!G19+'К.пр76А'!G19+'К.пр78Б'!G19+'К.пр.82А'!G19+'250лет10'!G19+'40лет29'!G19+'40лет29А'!G19+'40лет29Б'!G19+'40лет29В'!G19+'40лет29Д'!G19+'40летПоб31'!G19+'40лет31Б'!G19+'40лет31В'!G19+'40лет33'!G19+'40лет33А'!G19+'40лет33Б'!G19+'40летПоб35'!G19+'40лет35А'!G19+'К.пр76'!G19</f>
        <v>0</v>
      </c>
      <c r="H19" s="70">
        <f t="shared" si="2"/>
        <v>709182.6000000002</v>
      </c>
      <c r="I19" s="19">
        <f>'В13'!I19+'В52А'!I19+'Г28Б'!I19+Лен29А!I19+Лен42!I19+'Св.пр58А'!I19+Мон31!I19+Мон33!I19+Мон35!I19+'Цв.59А'!I19+энг26А!I19+Зах3В!I19+'К.пр60А'!I19+'К.пр62А'!I19+'К.пр62Б'!I19+'К.пр.66А'!I19+'К.пр66Б'!I19+'К.пр66В'!I19+'К.пр76А'!I19+'К.пр78Б'!I19+'К.пр.82А'!I19+'250лет10'!I19+'40лет29'!I19+'40лет29А'!I19+'40лет29Б'!I19+'40лет29В'!I19+'40лет29Д'!I19+'40летПоб31'!I19+'40лет31Б'!I19+'40лет31В'!I19+'40лет33'!I19+'40лет33А'!I19+'40лет33Б'!I19+'40летПоб35'!I19+'40лет35А'!I19+'К.пр76'!I19</f>
        <v>712324.61</v>
      </c>
      <c r="J19" s="19">
        <f>'В13'!J19+'В52А'!J19+'Г28Б'!J19+Лен29А!J19+Лен42!J19+'Св.пр58А'!J19+Мон31!J19+Мон33!J19+Мон35!J19+'Цв.59А'!J19+энг26А!J19+Зах3В!J19+'К.пр60А'!J19+'К.пр62А'!J19+'К.пр62Б'!J19+'К.пр.66А'!J19+'К.пр66Б'!J19+'К.пр66В'!J19+'К.пр76А'!J19+'К.пр78Б'!J19+'К.пр.82А'!J19+'250лет10'!J19+'40лет29'!J19+'40лет29А'!J19+'40лет29Б'!J19+'40лет29В'!J19+'40лет29Д'!J19+'40летПоб31'!J19+'40лет31Б'!J19+'40лет31В'!J19+'40лет33'!J19+'40лет33А'!J19+'40лет33Б'!J19+'40летПоб35'!J19+'40лет35А'!J19+'К.пр76'!J19</f>
        <v>0</v>
      </c>
      <c r="K19" s="70">
        <f t="shared" si="0"/>
        <v>712324.61</v>
      </c>
      <c r="L19" s="19">
        <f>'В13'!L19+'В52А'!L19+'Г28Б'!L19+Лен29А!L19+Лен42!L19+'Св.пр58А'!L19+Мон31!L19+Мон33!L19+Мон35!L19+'Цв.59А'!L19+энг26А!L19+Зах3В!L19+'К.пр60А'!L19+'К.пр62А'!L19+'К.пр62Б'!L19+'К.пр.66А'!L19+'К.пр66Б'!L19+'К.пр66В'!L19+'К.пр76А'!L19+'К.пр78Б'!L19+'К.пр.82А'!L19+'250лет10'!L19+'40лет29'!L19+'40лет29А'!L19+'40лет29Б'!L19+'40лет29В'!L19+'40лет29Д'!L19+'40летПоб31'!L19+'40лет31Б'!L19+'40лет31В'!L19+'40лет33'!L19+'40лет33А'!L19+'40лет33Б'!L19+'40летПоб35'!L19+'40лет35А'!L19+'К.пр76'!L19</f>
        <v>129235.13000000003</v>
      </c>
      <c r="M19" s="19">
        <f>'В13'!M19+'В52А'!M19+'Г28Б'!M19+Лен29А!M19+Лен42!M19+'Св.пр58А'!M19+Мон31!M19+Мон33!M19+Мон35!M19+'Цв.59А'!M19+энг26А!M19+Зах3В!M19+'К.пр60А'!M19+'К.пр62А'!M19+'К.пр62Б'!M19+'К.пр.66А'!M19+'К.пр66Б'!M19+'К.пр66В'!M19+'К.пр76А'!M19+'К.пр78Б'!M19+'К.пр.82А'!M19+'250лет10'!M19+'40лет29'!M19+'40лет29А'!M19+'40лет29Б'!M19+'40лет29В'!M19+'40лет29Д'!M19+'40летПоб31'!M19+'40лет31Б'!M19+'40лет31В'!M19+'40лет33'!M19+'40лет33А'!M19+'40лет33Б'!M19+'40летПоб35'!M19+'40лет35А'!M19+'К.пр76'!M19</f>
        <v>0</v>
      </c>
      <c r="N19" s="70">
        <f t="shared" si="1"/>
        <v>129235.13000000003</v>
      </c>
      <c r="O19" s="72">
        <f>'В13'!O19+'В52А'!O19+'Г28Б'!O19+Лен29А!O19+Лен42!O19+'Св.пр58А'!O19+Мон31!O19+Мон33!O19+Мон35!O19+'Цв.59А'!O19+энг26А!O19+Зах3В!O19+'К.пр60А'!O19+'К.пр62А'!O19+'К.пр62Б'!O19+'К.пр.66А'!O19+'К.пр66Б'!O19+'К.пр66В'!O19+'К.пр76А'!O19+'К.пр78Б'!O19+'К.пр.82А'!O19+'250лет10'!O19+'40лет29'!O19+'40лет29А'!O19+'40лет29Б'!O19+'40лет29В'!O19+'40лет29Д'!O19+'40летПоб31'!O19+'40лет31Б'!O19+'40лет31В'!O19+'40лет33'!O19+'40лет33А'!O19+'40лет33Б'!O19+'40летПоб35'!O19+'40лет35А'!O19+'К.пр76'!O19</f>
        <v>1331889.92</v>
      </c>
    </row>
    <row r="20" spans="1:15" ht="24">
      <c r="A20" s="38" t="s">
        <v>8</v>
      </c>
      <c r="B20" s="71"/>
      <c r="C20" s="19">
        <f>'В13'!C20+'В52А'!C20+'Г28Б'!C20+Лен29А!C20+Лен42!C20+'Св.пр58А'!C20+Мон31!C20+Мон33!C20+Мон35!C20+'Цв.59А'!C20+энг26А!C20+Зах3В!C20+'К.пр60А'!C20+'К.пр62А'!C20+'К.пр62Б'!C20+'К.пр.66А'!C20+'К.пр66Б'!C20+'К.пр66В'!C20+'К.пр76А'!C20+'К.пр78Б'!C20+'К.пр.82А'!C20+'250лет10'!C20+'40лет29'!C20+'40лет29А'!C20+'40лет29Б'!C20+'40лет29В'!C20+'40лет29Д'!C20+'40летПоб31'!C20+'40лет31Б'!C20+'40лет31В'!C20+'40лет33'!C20+'40лет33А'!C20+'40лет33Б'!C20+'40летПоб35'!C20+'40лет35А'!C20+'К.пр76'!C20</f>
        <v>7366486.53</v>
      </c>
      <c r="D20" s="19">
        <f>'В13'!D20+'В52А'!D20+'Г28Б'!D20+Лен29А!D20+Лен42!D20+'Св.пр58А'!D20+Мон31!D20+Мон33!D20+Мон35!D20+'Цв.59А'!D20+энг26А!D20+Зах3В!D20+'К.пр60А'!D20+'К.пр62А'!D20+'К.пр62Б'!D20+'К.пр.66А'!D20+'К.пр66Б'!D20+'К.пр66В'!D20+'К.пр76А'!D20+'К.пр78Б'!D20+'К.пр.82А'!D20+'250лет10'!D20+'40лет29'!D20+'40лет29А'!D20+'40лет29Б'!D20+'40лет29В'!D20+'40лет29Д'!D20+'40летПоб31'!D20+'40лет31Б'!D20+'40лет31В'!D20+'40лет33'!D20+'40лет33А'!D20+'40лет33Б'!D20+'40летПоб35'!D20+'40лет35А'!D20+'К.пр76'!D20</f>
        <v>1390339.6699999997</v>
      </c>
      <c r="E20" s="70">
        <f t="shared" si="3"/>
        <v>8756826.2</v>
      </c>
      <c r="F20" s="19">
        <f>'В13'!F20+'В52А'!F20+'Г28Б'!F20+Лен29А!F20+Лен42!F20+'Св.пр58А'!F20+Мон31!F20+Мон33!F20+Мон35!F20+'Цв.59А'!F20+энг26А!F20+Зах3В!F20+'К.пр60А'!F20+'К.пр62А'!F20+'К.пр62Б'!F20+'К.пр.66А'!F20+'К.пр66Б'!F20+'К.пр66В'!F20+'К.пр76А'!F20+'К.пр78Б'!F20+'К.пр.82А'!F20+'250лет10'!F20+'40лет29'!F20+'40лет29А'!F20+'40лет29Б'!F20+'40лет29В'!F20+'40лет29Д'!F20+'40летПоб31'!F20+'40лет31Б'!F20+'40лет31В'!F20+'40лет33'!F20+'40лет33А'!F20+'40лет33Б'!F20+'40летПоб35'!F20+'40лет35А'!F20+'К.пр76'!F20</f>
        <v>31110686.250000004</v>
      </c>
      <c r="G20" s="19">
        <f>'В13'!G20+'В52А'!G20+'Г28Б'!G20+Лен29А!G20+Лен42!G20+'Св.пр58А'!G20+Мон31!G20+Мон33!G20+Мон35!G20+'Цв.59А'!G20+энг26А!G20+Зах3В!G20+'К.пр60А'!G20+'К.пр62А'!G20+'К.пр62Б'!G20+'К.пр.66А'!G20+'К.пр66Б'!G20+'К.пр66В'!G20+'К.пр76А'!G20+'К.пр78Б'!G20+'К.пр.82А'!G20+'250лет10'!G20+'40лет29'!G20+'40лет29А'!G20+'40лет29Б'!G20+'40лет29В'!G20+'40лет29Д'!G20+'40летПоб31'!G20+'40лет31Б'!G20+'40лет31В'!G20+'40лет33'!G20+'40лет33А'!G20+'40лет33Б'!G20+'40летПоб35'!G20+'40лет35А'!G20+'К.пр76'!G20</f>
        <v>4546420.96</v>
      </c>
      <c r="H20" s="70">
        <f t="shared" si="2"/>
        <v>35657107.21</v>
      </c>
      <c r="I20" s="19">
        <f>'В13'!I20+'В52А'!I20+'Г28Б'!I20+Лен29А!I20+Лен42!I20+'Св.пр58А'!I20+Мон31!I20+Мон33!I20+Мон35!I20+'Цв.59А'!I20+энг26А!I20+Зах3В!I20+'К.пр60А'!I20+'К.пр62А'!I20+'К.пр62Б'!I20+'К.пр.66А'!I20+'К.пр66Б'!I20+'К.пр66В'!I20+'К.пр76А'!I20+'К.пр78Б'!I20+'К.пр.82А'!I20+'250лет10'!I20+'40лет29'!I20+'40лет29А'!I20+'40лет29Б'!I20+'40лет29В'!I20+'40лет29Д'!I20+'40летПоб31'!I20+'40лет31Б'!I20+'40лет31В'!I20+'40лет33'!I20+'40лет33А'!I20+'40лет33Б'!I20+'40летПоб35'!I20+'40лет35А'!I20+'К.пр76'!I20</f>
        <v>31668430.479999997</v>
      </c>
      <c r="J20" s="19">
        <f>'В13'!J20+'В52А'!J20+'Г28Б'!J20+Лен29А!J20+Лен42!J20+'Св.пр58А'!J20+Мон31!J20+Мон33!J20+Мон35!J20+'Цв.59А'!J20+энг26А!J20+Зах3В!J20+'К.пр60А'!J20+'К.пр62А'!J20+'К.пр62Б'!J20+'К.пр.66А'!J20+'К.пр66Б'!J20+'К.пр66В'!J20+'К.пр76А'!J20+'К.пр78Б'!J20+'К.пр.82А'!J20+'250лет10'!J20+'40лет29'!J20+'40лет29А'!J20+'40лет29Б'!J20+'40лет29В'!J20+'40лет29Д'!J20+'40летПоб31'!J20+'40лет31Б'!J20+'40лет31В'!J20+'40лет33'!J20+'40лет33А'!J20+'40лет33Б'!J20+'40летПоб35'!J20+'40лет35А'!J20+'К.пр76'!J20</f>
        <v>3767479.73</v>
      </c>
      <c r="K20" s="70">
        <f t="shared" si="0"/>
        <v>35435910.20999999</v>
      </c>
      <c r="L20" s="19">
        <f>'В13'!L20+'В52А'!L20+'Г28Б'!L20+Лен29А!L20+Лен42!L20+'Св.пр58А'!L20+Мон31!L20+Мон33!L20+Мон35!L20+'Цв.59А'!L20+энг26А!L20+Зах3В!L20+'К.пр60А'!L20+'К.пр62А'!L20+'К.пр62Б'!L20+'К.пр.66А'!L20+'К.пр66Б'!L20+'К.пр66В'!L20+'К.пр76А'!L20+'К.пр78Б'!L20+'К.пр.82А'!L20+'250лет10'!L20+'40лет29'!L20+'40лет29А'!L20+'40лет29Б'!L20+'40лет29В'!L20+'40лет29Д'!L20+'40летПоб31'!L20+'40лет31Б'!L20+'40лет31В'!L20+'40лет33'!L20+'40лет33А'!L20+'40лет33Б'!L20+'40летПоб35'!L20+'40лет35А'!L20+'К.пр76'!L20</f>
        <v>6808742.299999999</v>
      </c>
      <c r="M20" s="19">
        <f>'В13'!M20+'В52А'!M20+'Г28Б'!M20+Лен29А!M20+Лен42!M20+'Св.пр58А'!M20+Мон31!M20+Мон33!M20+Мон35!M20+'Цв.59А'!M20+энг26А!M20+Зах3В!M20+'К.пр60А'!M20+'К.пр62А'!M20+'К.пр62Б'!M20+'К.пр.66А'!M20+'К.пр66Б'!M20+'К.пр66В'!M20+'К.пр76А'!M20+'К.пр78Б'!M20+'К.пр.82А'!M20+'250лет10'!M20+'40лет29'!M20+'40лет29А'!M20+'40лет29Б'!M20+'40лет29В'!M20+'40лет29Д'!M20+'40летПоб31'!M20+'40лет31Б'!M20+'40лет31В'!M20+'40лет33'!M20+'40лет33А'!M20+'40лет33Б'!M20+'40летПоб35'!M20+'40лет35А'!M20+'К.пр76'!M20</f>
        <v>2166593.2018278833</v>
      </c>
      <c r="N20" s="70">
        <f t="shared" si="1"/>
        <v>8975335.501827883</v>
      </c>
      <c r="O20" s="72">
        <f>'В13'!O20+'В52А'!O20+'Г28Б'!O20+Лен29А!O20+Лен42!O20+'Св.пр58А'!O20+Мон31!O20+Мон33!O20+Мон35!O20+'Цв.59А'!O20+энг26А!O20+Зах3В!O20+'К.пр60А'!O20+'К.пр62А'!O20+'К.пр62Б'!O20+'К.пр.66А'!O20+'К.пр66Б'!O20+'К.пр66В'!O20+'К.пр76А'!O20+'К.пр78Б'!O20+'К.пр.82А'!O20+'250лет10'!O20+'40лет29'!O20+'40лет29А'!O20+'40лет29Б'!O20+'40лет29В'!O20+'40лет29Д'!O20+'40летПоб31'!O20+'40лет31Б'!O20+'40лет31В'!O20+'40лет33'!O20+'40лет33А'!O20+'40лет33Б'!O20+'40летПоб35'!O20+'40лет35А'!O20+'К.пр76'!O20</f>
        <v>31138620.232999995</v>
      </c>
    </row>
    <row r="21" spans="1:15" ht="12.75">
      <c r="A21" s="38" t="s">
        <v>10</v>
      </c>
      <c r="B21" s="71"/>
      <c r="C21" s="19">
        <f>'В13'!C21+'В52А'!C21+'Г28Б'!C21+Лен29А!C21+Лен42!C21+'Св.пр58А'!C21+Мон31!C21+Мон33!C21+Мон35!C21+'Цв.59А'!C21+энг26А!C21+Зах3В!C21+'К.пр60А'!C21+'К.пр62А'!C21+'К.пр62Б'!C21+'К.пр.66А'!C21+'К.пр66Б'!C21+'К.пр66В'!C21+'К.пр76А'!C21+'К.пр78Б'!C21+'К.пр.82А'!C21+'250лет10'!C21+'40лет29'!C21+'40лет29А'!C21+'40лет29Б'!C21+'40лет29В'!C21+'40лет29Д'!C21+'40летПоб31'!C21+'40лет31Б'!C21+'40лет31В'!C21+'40лет33'!C21+'40лет33А'!C21+'40лет33Б'!C21+'40летПоб35'!C21+'40лет35А'!C21+'К.пр76'!C21</f>
        <v>78758.19999999998</v>
      </c>
      <c r="D21" s="19">
        <f>'В13'!D21+'В52А'!D21+'Г28Б'!D21+Лен29А!D21+Лен42!D21+'Св.пр58А'!D21+Мон31!D21+Мон33!D21+Мон35!D21+'Цв.59А'!D21+энг26А!D21+Зах3В!D21+'К.пр60А'!D21+'К.пр62А'!D21+'К.пр62Б'!D21+'К.пр.66А'!D21+'К.пр66Б'!D21+'К.пр66В'!D21+'К.пр76А'!D21+'К.пр78Б'!D21+'К.пр.82А'!D21+'250лет10'!D21+'40лет29'!D21+'40лет29А'!D21+'40лет29Б'!D21+'40лет29В'!D21+'40лет29Д'!D21+'40летПоб31'!D21+'40лет31Б'!D21+'40лет31В'!D21+'40лет33'!D21+'40лет33А'!D21+'40лет33Б'!D21+'40летПоб35'!D21+'40лет35А'!D21+'К.пр76'!D21</f>
        <v>644680.8999999999</v>
      </c>
      <c r="E21" s="70">
        <f t="shared" si="3"/>
        <v>723439.0999999999</v>
      </c>
      <c r="F21" s="19">
        <f>'В13'!F21+'В52А'!F21+'Г28Б'!F21+Лен29А!F21+Лен42!F21+'Св.пр58А'!F21+Мон31!F21+Мон33!F21+Мон35!F21+'Цв.59А'!F21+энг26А!F21+Зах3В!F21+'К.пр60А'!F21+'К.пр62А'!F21+'К.пр62Б'!F21+'К.пр.66А'!F21+'К.пр66Б'!F21+'К.пр66В'!F21+'К.пр76А'!F21+'К.пр78Б'!F21+'К.пр.82А'!F21+'250лет10'!F21+'40лет29'!F21+'40лет29А'!F21+'40лет29Б'!F21+'40лет29В'!F21+'40лет29Д'!F21+'40летПоб31'!F21+'40лет31Б'!F21+'40лет31В'!F21+'40лет33'!F21+'40лет33А'!F21+'40лет33Б'!F21+'40летПоб35'!F21+'40лет35А'!F21+'К.пр76'!F21</f>
        <v>0</v>
      </c>
      <c r="G21" s="19">
        <f>'В13'!G21+'В52А'!G21+'Г28Б'!G21+Лен29А!G21+Лен42!G21+'Св.пр58А'!G21+Мон31!G21+Мон33!G21+Мон35!G21+'Цв.59А'!G21+энг26А!G21+Зах3В!G21+'К.пр60А'!G21+'К.пр62А'!G21+'К.пр62Б'!G21+'К.пр.66А'!G21+'К.пр66Б'!G21+'К.пр66В'!G21+'К.пр76А'!G21+'К.пр78Б'!G21+'К.пр.82А'!G21+'250лет10'!G21+'40лет29'!G21+'40лет29А'!G21+'40лет29Б'!G21+'40лет29В'!G21+'40лет29Д'!G21+'40летПоб31'!G21+'40лет31Б'!G21+'40лет31В'!G21+'40лет33'!G21+'40лет33А'!G21+'40лет33Б'!G21+'40летПоб35'!G21+'40лет35А'!G21+'К.пр76'!G21</f>
        <v>3127770.34</v>
      </c>
      <c r="H21" s="70">
        <f t="shared" si="2"/>
        <v>3127770.34</v>
      </c>
      <c r="I21" s="19">
        <f>'В13'!I21+'В52А'!I21+'Г28Б'!I21+Лен29А!I21+Лен42!I21+'Св.пр58А'!I21+Мон31!I21+Мон33!I21+Мон35!I21+'Цв.59А'!I21+энг26А!I21+Зах3В!I21+'К.пр60А'!I21+'К.пр62А'!I21+'К.пр62Б'!I21+'К.пр.66А'!I21+'К.пр66Б'!I21+'К.пр66В'!I21+'К.пр76А'!I21+'К.пр78Б'!I21+'К.пр.82А'!I21+'250лет10'!I21+'40лет29'!I21+'40лет29А'!I21+'40лет29Б'!I21+'40лет29В'!I21+'40лет29Д'!I21+'40летПоб31'!I21+'40лет31Б'!I21+'40лет31В'!I21+'40лет33'!I21+'40лет33А'!I21+'40лет33Б'!I21+'40летПоб35'!I21+'40лет35А'!I21+'К.пр76'!I21</f>
        <v>50548.96</v>
      </c>
      <c r="J21" s="19">
        <f>'В13'!J21+'В52А'!J21+'Г28Б'!J21+Лен29А!J21+Лен42!J21+'Св.пр58А'!J21+Мон31!J21+Мон33!J21+Мон35!J21+'Цв.59А'!J21+энг26А!J21+Зах3В!J21+'К.пр60А'!J21+'К.пр62А'!J21+'К.пр62Б'!J21+'К.пр.66А'!J21+'К.пр66Б'!J21+'К.пр66В'!J21+'К.пр76А'!J21+'К.пр78Б'!J21+'К.пр.82А'!J21+'250лет10'!J21+'40лет29'!J21+'40лет29А'!J21+'40лет29Б'!J21+'40лет29В'!J21+'40лет29Д'!J21+'40летПоб31'!J21+'40лет31Б'!J21+'40лет31В'!J21+'40лет33'!J21+'40лет33А'!J21+'40лет33Б'!J21+'40летПоб35'!J21+'40лет35А'!J21+'К.пр76'!J21</f>
        <v>2943015.5899999994</v>
      </c>
      <c r="K21" s="70">
        <f t="shared" si="0"/>
        <v>2993564.5499999993</v>
      </c>
      <c r="L21" s="19">
        <f>'В13'!L21+'В52А'!L21+'Г28Б'!L21+Лен29А!L21+Лен42!L21+'Св.пр58А'!L21+Мон31!L21+Мон33!L21+Мон35!L21+'Цв.59А'!L21+энг26А!L21+Зах3В!L21+'К.пр60А'!L21+'К.пр62А'!L21+'К.пр62Б'!L21+'К.пр.66А'!L21+'К.пр66Б'!L21+'К.пр66В'!L21+'К.пр76А'!L21+'К.пр78Б'!L21+'К.пр.82А'!L21+'250лет10'!L21+'40лет29'!L21+'40лет29А'!L21+'40лет29Б'!L21+'40лет29В'!L21+'40лет29Д'!L21+'40летПоб31'!L21+'40лет31Б'!L21+'40лет31В'!L21+'40лет33'!L21+'40лет33А'!L21+'40лет33Б'!L21+'40летПоб35'!L21+'40лет35А'!L21+'К.пр76'!L21</f>
        <v>28209.239999999998</v>
      </c>
      <c r="M21" s="19">
        <f>'В13'!M21+'В52А'!M21+'Г28Б'!M21+Лен29А!M21+Лен42!M21+'Св.пр58А'!M21+Мон31!M21+Мон33!M21+Мон35!M21+'Цв.59А'!M21+энг26А!M21+Зах3В!M21+'К.пр60А'!M21+'К.пр62А'!M21+'К.пр62Б'!M21+'К.пр.66А'!M21+'К.пр66Б'!M21+'К.пр66В'!M21+'К.пр76А'!M21+'К.пр78Б'!M21+'К.пр.82А'!M21+'250лет10'!M21+'40лет29'!M21+'40лет29А'!M21+'40лет29Б'!M21+'40лет29В'!M21+'40лет29Д'!M21+'40летПоб31'!M21+'40лет31Б'!M21+'40лет31В'!M21+'40лет33'!M21+'40лет33А'!M21+'40лет33Б'!M21+'40летПоб35'!M21+'40лет35А'!M21+'К.пр76'!M21</f>
        <v>829435.65</v>
      </c>
      <c r="N21" s="70">
        <f t="shared" si="1"/>
        <v>857644.89</v>
      </c>
      <c r="O21" s="72">
        <f>'В13'!O21+'В52А'!O21+'Г28Б'!O21+Лен29А!O21+Лен42!O21+'Св.пр58А'!O21+Мон31!O21+Мон33!O21+Мон35!O21+'Цв.59А'!O21+энг26А!O21+Зах3В!O21+'К.пр60А'!O21+'К.пр62А'!O21+'К.пр62Б'!O21+'К.пр.66А'!O21+'К.пр66Б'!O21+'К.пр66В'!O21+'К.пр76А'!O21+'К.пр78Б'!O21+'К.пр.82А'!O21+'250лет10'!O21+'40лет29'!O21+'40лет29А'!O21+'40лет29Б'!O21+'40лет29В'!O21+'40лет29Д'!O21+'40летПоб31'!O21+'40лет31Б'!O21+'40лет31В'!O21+'40лет33'!O21+'40лет33А'!O21+'40лет33Б'!O21+'40летПоб35'!O21+'40лет35А'!O21+'К.пр76'!O21</f>
        <v>3157713.48</v>
      </c>
    </row>
    <row r="22" spans="1:15" ht="24" customHeight="1" hidden="1" outlineLevel="1">
      <c r="A22" s="38" t="s">
        <v>19</v>
      </c>
      <c r="B22" s="71"/>
      <c r="C22" s="19">
        <f>'В13'!C22+'В52А'!C22+'Г28Б'!C22+Лен29А!C22+Лен42!C22+'Св.пр58А'!C22+Мон31!C22+Мон33!C22+Мон35!C22+'Цв.59А'!C22+энг26А!C22+Зах3В!C22+'К.пр60А'!C22+'К.пр62А'!C22+'К.пр62Б'!C22+'К.пр.66А'!C22+'К.пр66Б'!C22+'К.пр66В'!C22+'К.пр76А'!C22+'К.пр78Б'!C22+'К.пр.82А'!C22+'250лет10'!C22+'40лет29'!C22+'40лет29А'!C22+'40лет29Б'!C22+'40лет29В'!C22+'40лет29Д'!C22+'40летПоб31'!C22+'40лет31Б'!C22+'40лет31В'!C22+'40лет33'!C22+'40лет33А'!C22+'40лет33Б'!C22+'40летПоб35'!C22+'40лет35А'!C22+'К.пр76'!C22</f>
        <v>0</v>
      </c>
      <c r="D22" s="19">
        <f>'В13'!D22+'В52А'!D22+'Г28Б'!D22+Лен29А!D22+Лен42!D22+'Св.пр58А'!D22+Мон31!D22+Мон33!D22+Мон35!D22+'Цв.59А'!D22+энг26А!D22+Зах3В!D22+'К.пр60А'!D22+'К.пр62А'!D22+'К.пр62Б'!D22+'К.пр.66А'!D22+'К.пр66Б'!D22+'К.пр66В'!D22+'К.пр76А'!D22+'К.пр78Б'!D22+'К.пр.82А'!D22+'250лет10'!D22+'40лет29'!D22+'40лет29А'!D22+'40лет29Б'!D22+'40лет29В'!D22+'40лет29Д'!D22+'40летПоб31'!D22+'40лет31Б'!D22+'40лет31В'!D22+'40лет33'!D22+'40лет33А'!D22+'40лет33Б'!D22+'40летПоб35'!D22+'40лет35А'!D22+'К.пр76'!D22</f>
        <v>0</v>
      </c>
      <c r="E22" s="70">
        <f t="shared" si="3"/>
        <v>0</v>
      </c>
      <c r="F22" s="19">
        <f>'В13'!F22+'В52А'!F22+'Г28Б'!F22+Лен29А!F22+Лен42!F22+'Св.пр58А'!F22+Мон31!F22+Мон33!F22+Мон35!F22+'Цв.59А'!F22+энг26А!F22+Зах3В!F22+'К.пр60А'!F22+'К.пр62А'!F22+'К.пр62Б'!F22+'К.пр.66А'!F22+'К.пр66Б'!F22+'К.пр66В'!F22+'К.пр76А'!F22+'К.пр78Б'!F22+'К.пр.82А'!F22+'250лет10'!F22+'40лет29'!F22+'40лет29А'!F22+'40лет29Б'!F22+'40лет29В'!F22+'40лет29Д'!F22+'40летПоб31'!F22+'40лет31Б'!F22+'40лет31В'!F22+'40лет33'!F22+'40лет33А'!F22+'40лет33Б'!F22+'40летПоб35'!F22+'40лет35А'!F22+'К.пр76'!F22</f>
        <v>0</v>
      </c>
      <c r="G22" s="19">
        <f>'В13'!G22+'В52А'!G22+'Г28Б'!G22+Лен29А!G22+Лен42!G22+'Св.пр58А'!G22+Мон31!G22+Мон33!G22+Мон35!G22+'Цв.59А'!G22+энг26А!G22+Зах3В!G22+'К.пр60А'!G22+'К.пр62А'!G22+'К.пр62Б'!G22+'К.пр.66А'!G22+'К.пр66Б'!G22+'К.пр66В'!G22+'К.пр76А'!G22+'К.пр78Б'!G22+'К.пр.82А'!G22+'250лет10'!G22+'40лет29'!G22+'40лет29А'!G22+'40лет29Б'!G22+'40лет29В'!G22+'40лет29Д'!G22+'40летПоб31'!G22+'40лет31Б'!G22+'40лет31В'!G22+'40лет33'!G22+'40лет33А'!G22+'40лет33Б'!G22+'40летПоб35'!G22+'40лет35А'!G22+'К.пр76'!G22</f>
        <v>0</v>
      </c>
      <c r="H22" s="70">
        <f t="shared" si="2"/>
        <v>0</v>
      </c>
      <c r="I22" s="19">
        <f>'В13'!I22+'В52А'!I22+'Г28Б'!I22+Лен29А!I22+Лен42!I22+'Св.пр58А'!I22+Мон31!I22+Мон33!I22+Мон35!I22+'Цв.59А'!I22+энг26А!I22+Зах3В!I22+'К.пр60А'!I22+'К.пр62А'!I22+'К.пр62Б'!I22+'К.пр.66А'!I22+'К.пр66Б'!I22+'К.пр66В'!I22+'К.пр76А'!I22+'К.пр78Б'!I22+'К.пр.82А'!I22+'250лет10'!I22+'40лет29'!I22+'40лет29А'!I22+'40лет29Б'!I22+'40лет29В'!I22+'40лет29Д'!I22+'40летПоб31'!I22+'40лет31Б'!I22+'40лет31В'!I22+'40лет33'!I22+'40лет33А'!I22+'40лет33Б'!I22+'40летПоб35'!I22+'40лет35А'!I22+'К.пр76'!I22</f>
        <v>0</v>
      </c>
      <c r="J22" s="19">
        <f>'В13'!J22+'В52А'!J22+'Г28Б'!J22+Лен29А!J22+Лен42!J22+'Св.пр58А'!J22+Мон31!J22+Мон33!J22+Мон35!J22+'Цв.59А'!J22+энг26А!J22+Зах3В!J22+'К.пр60А'!J22+'К.пр62А'!J22+'К.пр62Б'!J22+'К.пр.66А'!J22+'К.пр66Б'!J22+'К.пр66В'!J22+'К.пр76А'!J22+'К.пр78Б'!J22+'К.пр.82А'!J22+'250лет10'!J22+'40лет29'!J22+'40лет29А'!J22+'40лет29Б'!J22+'40лет29В'!J22+'40лет29Д'!J22+'40летПоб31'!J22+'40лет31Б'!J22+'40лет31В'!J22+'40лет33'!J22+'40лет33А'!J22+'40лет33Б'!J22+'40летПоб35'!J22+'40лет35А'!J22+'К.пр76'!J22</f>
        <v>0</v>
      </c>
      <c r="K22" s="70">
        <f t="shared" si="0"/>
        <v>0</v>
      </c>
      <c r="L22" s="19">
        <f>'В13'!L22+'В52А'!L22+'Г28Б'!L22+Лен29А!L22+Лен42!L22+'Св.пр58А'!L22+Мон31!L22+Мон33!L22+Мон35!L22+'Цв.59А'!L22+энг26А!L22+Зах3В!L22+'К.пр60А'!L22+'К.пр62А'!L22+'К.пр62Б'!L22+'К.пр.66А'!L22+'К.пр66Б'!L22+'К.пр66В'!L22+'К.пр76А'!L22+'К.пр78Б'!L22+'К.пр.82А'!L22+'250лет10'!L22+'40лет29'!L22+'40лет29А'!L22+'40лет29Б'!L22+'40лет29В'!L22+'40лет29Д'!L22+'40летПоб31'!L22+'40лет31Б'!L22+'40лет31В'!L22+'40лет33'!L22+'40лет33А'!L22+'40лет33Б'!L22+'40летПоб35'!L22+'40лет35А'!L22+'К.пр76'!L22</f>
        <v>0</v>
      </c>
      <c r="M22" s="19">
        <f>'В13'!M22+'В52А'!M22+'Г28Б'!M22+Лен29А!M22+Лен42!M22+'Св.пр58А'!M22+Мон31!M22+Мон33!M22+Мон35!M22+'Цв.59А'!M22+энг26А!M22+Зах3В!M22+'К.пр60А'!M22+'К.пр62А'!M22+'К.пр62Б'!M22+'К.пр.66А'!M22+'К.пр66Б'!M22+'К.пр66В'!M22+'К.пр76А'!M22+'К.пр78Б'!M22+'К.пр.82А'!M22+'250лет10'!M22+'40лет29'!M22+'40лет29А'!M22+'40лет29Б'!M22+'40лет29В'!M22+'40лет29Д'!M22+'40летПоб31'!M22+'40лет31Б'!M22+'40лет31В'!M22+'40лет33'!M22+'40лет33А'!M22+'40лет33Б'!M22+'40летПоб35'!M22+'40лет35А'!M22+'К.пр76'!M22</f>
        <v>0</v>
      </c>
      <c r="N22" s="70">
        <f t="shared" si="1"/>
        <v>0</v>
      </c>
      <c r="O22" s="72">
        <f>'В13'!O22+'В52А'!O22+'Г28Б'!O22+Лен29А!O22+Лен42!O22+'Св.пр58А'!O22+Мон31!O22+Мон33!O22+Мон35!O22+'Цв.59А'!O22+энг26А!O22+Зах3В!O22+'К.пр60А'!O22+'К.пр62А'!O22+'К.пр62Б'!O22+'К.пр.66А'!O22+'К.пр66Б'!O22+'К.пр66В'!O22+'К.пр76А'!O22+'К.пр78Б'!O22+'К.пр.82А'!O22+'250лет10'!O22+'40лет29'!O22+'40лет29А'!O22+'40лет29Б'!O22+'40лет29В'!O22+'40лет29Д'!O22+'40летПоб31'!O22+'40лет31Б'!O22+'40лет31В'!O22+'40лет33'!O22+'40лет33А'!O22+'40лет33Б'!O22+'40летПоб35'!O22+'40лет35А'!O22+'К.пр76'!O22</f>
        <v>0</v>
      </c>
    </row>
    <row r="23" spans="1:15" ht="24" customHeight="1" hidden="1" outlineLevel="1">
      <c r="A23" s="38" t="s">
        <v>17</v>
      </c>
      <c r="B23" s="71"/>
      <c r="C23" s="19">
        <f>'В13'!C23+'В52А'!C23+'Г28Б'!C23+Лен29А!C23+Лен42!C23+'Св.пр58А'!C23+Мон31!C23+Мон33!C23+Мон35!C23+'Цв.59А'!C23+энг26А!C23+Зах3В!C23+'К.пр60А'!C23+'К.пр62А'!C23+'К.пр62Б'!C23+'К.пр.66А'!C23+'К.пр66Б'!C23+'К.пр66В'!C23+'К.пр76А'!C23+'К.пр78Б'!C23+'К.пр.82А'!C23+'250лет10'!C23+'40лет29'!C23+'40лет29А'!C23+'40лет29Б'!C23+'40лет29В'!C23+'40лет29Д'!C23+'40летПоб31'!C23+'40лет31Б'!C23+'40лет31В'!C23+'40лет33'!C23+'40лет33А'!C23+'40лет33Б'!C23+'40летПоб35'!C23+'40лет35А'!C23+'К.пр76'!C23</f>
        <v>0</v>
      </c>
      <c r="D23" s="19">
        <f>'В13'!D23+'В52А'!D23+'Г28Б'!D23+Лен29А!D23+Лен42!D23+'Св.пр58А'!D23+Мон31!D23+Мон33!D23+Мон35!D23+'Цв.59А'!D23+энг26А!D23+Зах3В!D23+'К.пр60А'!D23+'К.пр62А'!D23+'К.пр62Б'!D23+'К.пр.66А'!D23+'К.пр66Б'!D23+'К.пр66В'!D23+'К.пр76А'!D23+'К.пр78Б'!D23+'К.пр.82А'!D23+'250лет10'!D23+'40лет29'!D23+'40лет29А'!D23+'40лет29Б'!D23+'40лет29В'!D23+'40лет29Д'!D23+'40летПоб31'!D23+'40лет31Б'!D23+'40лет31В'!D23+'40лет33'!D23+'40лет33А'!D23+'40лет33Б'!D23+'40летПоб35'!D23+'40лет35А'!D23+'К.пр76'!D23</f>
        <v>0</v>
      </c>
      <c r="E23" s="70">
        <f t="shared" si="3"/>
        <v>0</v>
      </c>
      <c r="F23" s="19">
        <f>'В13'!F23+'В52А'!F23+'Г28Б'!F23+Лен29А!F23+Лен42!F23+'Св.пр58А'!F23+Мон31!F23+Мон33!F23+Мон35!F23+'Цв.59А'!F23+энг26А!F23+Зах3В!F23+'К.пр60А'!F23+'К.пр62А'!F23+'К.пр62Б'!F23+'К.пр.66А'!F23+'К.пр66Б'!F23+'К.пр66В'!F23+'К.пр76А'!F23+'К.пр78Б'!F23+'К.пр.82А'!F23+'250лет10'!F23+'40лет29'!F23+'40лет29А'!F23+'40лет29Б'!F23+'40лет29В'!F23+'40лет29Д'!F23+'40летПоб31'!F23+'40лет31Б'!F23+'40лет31В'!F23+'40лет33'!F23+'40лет33А'!F23+'40лет33Б'!F23+'40летПоб35'!F23+'40лет35А'!F23+'К.пр76'!F23</f>
        <v>0</v>
      </c>
      <c r="G23" s="19">
        <f>'В13'!G23+'В52А'!G23+'Г28Б'!G23+Лен29А!G23+Лен42!G23+'Св.пр58А'!G23+Мон31!G23+Мон33!G23+Мон35!G23+'Цв.59А'!G23+энг26А!G23+Зах3В!G23+'К.пр60А'!G23+'К.пр62А'!G23+'К.пр62Б'!G23+'К.пр.66А'!G23+'К.пр66Б'!G23+'К.пр66В'!G23+'К.пр76А'!G23+'К.пр78Б'!G23+'К.пр.82А'!G23+'250лет10'!G23+'40лет29'!G23+'40лет29А'!G23+'40лет29Б'!G23+'40лет29В'!G23+'40лет29Д'!G23+'40летПоб31'!G23+'40лет31Б'!G23+'40лет31В'!G23+'40лет33'!G23+'40лет33А'!G23+'40лет33Б'!G23+'40летПоб35'!G23+'40лет35А'!G23+'К.пр76'!G23</f>
        <v>0</v>
      </c>
      <c r="H23" s="70">
        <f t="shared" si="2"/>
        <v>0</v>
      </c>
      <c r="I23" s="19">
        <f>'В13'!I23+'В52А'!I23+'Г28Б'!I23+Лен29А!I23+Лен42!I23+'Св.пр58А'!I23+Мон31!I23+Мон33!I23+Мон35!I23+'Цв.59А'!I23+энг26А!I23+Зах3В!I23+'К.пр60А'!I23+'К.пр62А'!I23+'К.пр62Б'!I23+'К.пр.66А'!I23+'К.пр66Б'!I23+'К.пр66В'!I23+'К.пр76А'!I23+'К.пр78Б'!I23+'К.пр.82А'!I23+'250лет10'!I23+'40лет29'!I23+'40лет29А'!I23+'40лет29Б'!I23+'40лет29В'!I23+'40лет29Д'!I23+'40летПоб31'!I23+'40лет31Б'!I23+'40лет31В'!I23+'40лет33'!I23+'40лет33А'!I23+'40лет33Б'!I23+'40летПоб35'!I23+'40лет35А'!I23+'К.пр76'!I23</f>
        <v>0</v>
      </c>
      <c r="J23" s="19">
        <f>'В13'!J23+'В52А'!J23+'Г28Б'!J23+Лен29А!J23+Лен42!J23+'Св.пр58А'!J23+Мон31!J23+Мон33!J23+Мон35!J23+'Цв.59А'!J23+энг26А!J23+Зах3В!J23+'К.пр60А'!J23+'К.пр62А'!J23+'К.пр62Б'!J23+'К.пр.66А'!J23+'К.пр66Б'!J23+'К.пр66В'!J23+'К.пр76А'!J23+'К.пр78Б'!J23+'К.пр.82А'!J23+'250лет10'!J23+'40лет29'!J23+'40лет29А'!J23+'40лет29Б'!J23+'40лет29В'!J23+'40лет29Д'!J23+'40летПоб31'!J23+'40лет31Б'!J23+'40лет31В'!J23+'40лет33'!J23+'40лет33А'!J23+'40лет33Б'!J23+'40летПоб35'!J23+'40лет35А'!J23+'К.пр76'!J23</f>
        <v>0</v>
      </c>
      <c r="K23" s="70">
        <f t="shared" si="0"/>
        <v>0</v>
      </c>
      <c r="L23" s="19">
        <f>'В13'!L23+'В52А'!L23+'Г28Б'!L23+Лен29А!L23+Лен42!L23+'Св.пр58А'!L23+Мон31!L23+Мон33!L23+Мон35!L23+'Цв.59А'!L23+энг26А!L23+Зах3В!L23+'К.пр60А'!L23+'К.пр62А'!L23+'К.пр62Б'!L23+'К.пр.66А'!L23+'К.пр66Б'!L23+'К.пр66В'!L23+'К.пр76А'!L23+'К.пр78Б'!L23+'К.пр.82А'!L23+'250лет10'!L23+'40лет29'!L23+'40лет29А'!L23+'40лет29Б'!L23+'40лет29В'!L23+'40лет29Д'!L23+'40летПоб31'!L23+'40лет31Б'!L23+'40лет31В'!L23+'40лет33'!L23+'40лет33А'!L23+'40лет33Б'!L23+'40летПоб35'!L23+'40лет35А'!L23+'К.пр76'!L23</f>
        <v>0</v>
      </c>
      <c r="M23" s="19">
        <f>'В13'!M23+'В52А'!M23+'Г28Б'!M23+Лен29А!M23+Лен42!M23+'Св.пр58А'!M23+Мон31!M23+Мон33!M23+Мон35!M23+'Цв.59А'!M23+энг26А!M23+Зах3В!M23+'К.пр60А'!M23+'К.пр62А'!M23+'К.пр62Б'!M23+'К.пр.66А'!M23+'К.пр66Б'!M23+'К.пр66В'!M23+'К.пр76А'!M23+'К.пр78Б'!M23+'К.пр.82А'!M23+'250лет10'!M23+'40лет29'!M23+'40лет29А'!M23+'40лет29Б'!M23+'40лет29В'!M23+'40лет29Д'!M23+'40летПоб31'!M23+'40лет31Б'!M23+'40лет31В'!M23+'40лет33'!M23+'40лет33А'!M23+'40лет33Б'!M23+'40летПоб35'!M23+'40лет35А'!M23+'К.пр76'!M23</f>
        <v>0</v>
      </c>
      <c r="N23" s="70">
        <f t="shared" si="1"/>
        <v>0</v>
      </c>
      <c r="O23" s="72">
        <f>'В13'!O23+'В52А'!O23+'Г28Б'!O23+Лен29А!O23+Лен42!O23+'Св.пр58А'!O23+Мон31!O23+Мон33!O23+Мон35!O23+'Цв.59А'!O23+энг26А!O23+Зах3В!O23+'К.пр60А'!O23+'К.пр62А'!O23+'К.пр62Б'!O23+'К.пр.66А'!O23+'К.пр66Б'!O23+'К.пр66В'!O23+'К.пр76А'!O23+'К.пр78Б'!O23+'К.пр.82А'!O23+'250лет10'!O23+'40лет29'!O23+'40лет29А'!O23+'40лет29Б'!O23+'40лет29В'!O23+'40лет29Д'!O23+'40летПоб31'!O23+'40лет31Б'!O23+'40лет31В'!O23+'40лет33'!O23+'40лет33А'!O23+'40лет33Б'!O23+'40летПоб35'!O23+'40лет35А'!O23+'К.пр76'!O23</f>
        <v>0</v>
      </c>
    </row>
    <row r="24" spans="1:15" ht="24" collapsed="1">
      <c r="A24" s="38" t="s">
        <v>25</v>
      </c>
      <c r="B24" s="71"/>
      <c r="C24" s="19">
        <f>'В13'!C24+'В52А'!C24+'Г28Б'!C24+Лен29А!C24+Лен42!C24+'Св.пр58А'!C24+Мон31!C24+Мон33!C24+Мон35!C24+'Цв.59А'!C24+энг26А!C24+Зах3В!C24+'К.пр60А'!C24+'К.пр62А'!C24+'К.пр62Б'!C24+'К.пр.66А'!C24+'К.пр66Б'!C24+'К.пр66В'!C24+'К.пр76А'!C24+'К.пр78Б'!C24+'К.пр.82А'!C24+'250лет10'!C24+'40лет29'!C24+'40лет29А'!C24+'40лет29Б'!C24+'40лет29В'!C24+'40лет29Д'!C24+'40летПоб31'!C24+'40лет31Б'!C24+'40лет31В'!C24+'40лет33'!C24+'40лет33А'!C24+'40лет33Б'!C24+'40летПоб35'!C24+'40лет35А'!C24+'К.пр76'!C24</f>
        <v>63763.26</v>
      </c>
      <c r="D24" s="19">
        <f>'В13'!D24+'В52А'!D24+'Г28Б'!D24+Лен29А!D24+Лен42!D24+'Св.пр58А'!D24+Мон31!D24+Мон33!D24+Мон35!D24+'Цв.59А'!D24+энг26А!D24+Зах3В!D24+'К.пр60А'!D24+'К.пр62А'!D24+'К.пр62Б'!D24+'К.пр.66А'!D24+'К.пр66Б'!D24+'К.пр66В'!D24+'К.пр76А'!D24+'К.пр78Б'!D24+'К.пр.82А'!D24+'250лет10'!D24+'40лет29'!D24+'40лет29А'!D24+'40лет29Б'!D24+'40лет29В'!D24+'40лет29Д'!D24+'40летПоб31'!D24+'40лет31Б'!D24+'40лет31В'!D24+'40лет33'!D24+'40лет33А'!D24+'40лет33Б'!D24+'40летПоб35'!D24+'40лет35А'!D24+'К.пр76'!D24</f>
        <v>0</v>
      </c>
      <c r="E24" s="70">
        <f t="shared" si="3"/>
        <v>63763.26</v>
      </c>
      <c r="F24" s="19">
        <f>'В13'!F24+'В52А'!F24+'Г28Б'!F24+Лен29А!F24+Лен42!F24+'Св.пр58А'!F24+Мон31!F24+Мон33!F24+Мон35!F24+'Цв.59А'!F24+энг26А!F24+Зах3В!F24+'К.пр60А'!F24+'К.пр62А'!F24+'К.пр62Б'!F24+'К.пр.66А'!F24+'К.пр66Б'!F24+'К.пр66В'!F24+'К.пр76А'!F24+'К.пр78Б'!F24+'К.пр.82А'!F24+'250лет10'!F24+'40лет29'!F24+'40лет29А'!F24+'40лет29Б'!F24+'40лет29В'!F24+'40лет29Д'!F24+'40летПоб31'!F24+'40лет31Б'!F24+'40лет31В'!F24+'40лет33'!F24+'40лет33А'!F24+'40лет33Б'!F24+'40летПоб35'!F24+'40лет35А'!F24+'К.пр76'!F24</f>
        <v>531093.55</v>
      </c>
      <c r="G24" s="19">
        <f>'В13'!G24+'В52А'!G24+'Г28Б'!G24+Лен29А!G24+Лен42!G24+'Св.пр58А'!G24+Мон31!G24+Мон33!G24+Мон35!G24+'Цв.59А'!G24+энг26А!G24+Зах3В!G24+'К.пр60А'!G24+'К.пр62А'!G24+'К.пр62Б'!G24+'К.пр.66А'!G24+'К.пр66Б'!G24+'К.пр66В'!G24+'К.пр76А'!G24+'К.пр78Б'!G24+'К.пр.82А'!G24+'250лет10'!G24+'40лет29'!G24+'40лет29А'!G24+'40лет29Б'!G24+'40лет29В'!G24+'40лет29Д'!G24+'40летПоб31'!G24+'40лет31Б'!G24+'40лет31В'!G24+'40лет33'!G24+'40лет33А'!G24+'40лет33Б'!G24+'40летПоб35'!G24+'40лет35А'!G24+'К.пр76'!G24</f>
        <v>0</v>
      </c>
      <c r="H24" s="70">
        <f t="shared" si="2"/>
        <v>531093.55</v>
      </c>
      <c r="I24" s="19">
        <f>'В13'!I24+'В52А'!I24+'Г28Б'!I24+Лен29А!I24+Лен42!I24+'Св.пр58А'!I24+Мон31!I24+Мон33!I24+Мон35!I24+'Цв.59А'!I24+энг26А!I24+Зах3В!I24+'К.пр60А'!I24+'К.пр62А'!I24+'К.пр62Б'!I24+'К.пр.66А'!I24+'К.пр66Б'!I24+'К.пр66В'!I24+'К.пр76А'!I24+'К.пр78Б'!I24+'К.пр.82А'!I24+'250лет10'!I24+'40лет29'!I24+'40лет29А'!I24+'40лет29Б'!I24+'40лет29В'!I24+'40лет29Д'!I24+'40летПоб31'!I24+'40лет31Б'!I24+'40лет31В'!I24+'40лет33'!I24+'40лет33А'!I24+'40лет33Б'!I24+'40летПоб35'!I24+'40лет35А'!I24+'К.пр76'!I24</f>
        <v>516785.29999999993</v>
      </c>
      <c r="J24" s="19">
        <f>'В13'!J24+'В52А'!J24+'Г28Б'!J24+Лен29А!J24+Лен42!J24+'Св.пр58А'!J24+Мон31!J24+Мон33!J24+Мон35!J24+'Цв.59А'!J24+энг26А!J24+Зах3В!J24+'К.пр60А'!J24+'К.пр62А'!J24+'К.пр62Б'!J24+'К.пр.66А'!J24+'К.пр66Б'!J24+'К.пр66В'!J24+'К.пр76А'!J24+'К.пр78Б'!J24+'К.пр.82А'!J24+'250лет10'!J24+'40лет29'!J24+'40лет29А'!J24+'40лет29Б'!J24+'40лет29В'!J24+'40лет29Д'!J24+'40летПоб31'!J24+'40лет31Б'!J24+'40лет31В'!J24+'40лет33'!J24+'40лет33А'!J24+'40лет33Б'!J24+'40летПоб35'!J24+'40лет35А'!J24+'К.пр76'!J24</f>
        <v>0</v>
      </c>
      <c r="K24" s="70">
        <f t="shared" si="0"/>
        <v>516785.29999999993</v>
      </c>
      <c r="L24" s="19">
        <f>'В13'!L24+'В52А'!L24+'Г28Б'!L24+Лен29А!L24+Лен42!L24+'Св.пр58А'!L24+Мон31!L24+Мон33!L24+Мон35!L24+'Цв.59А'!L24+энг26А!L24+Зах3В!L24+'К.пр60А'!L24+'К.пр62А'!L24+'К.пр62Б'!L24+'К.пр.66А'!L24+'К.пр66Б'!L24+'К.пр66В'!L24+'К.пр76А'!L24+'К.пр78Б'!L24+'К.пр.82А'!L24+'250лет10'!L24+'40лет29'!L24+'40лет29А'!L24+'40лет29Б'!L24+'40лет29В'!L24+'40лет29Д'!L24+'40летПоб31'!L24+'40лет31Б'!L24+'40лет31В'!L24+'40лет33'!L24+'40лет33А'!L24+'40лет33Б'!L24+'40летПоб35'!L24+'40лет35А'!L24+'К.пр76'!L24</f>
        <v>78071.51000000001</v>
      </c>
      <c r="M24" s="19">
        <f>'В13'!M24+'В52А'!M24+'Г28Б'!M24+Лен29А!M24+Лен42!M24+'Св.пр58А'!M24+Мон31!M24+Мон33!M24+Мон35!M24+'Цв.59А'!M24+энг26А!M24+Зах3В!M24+'К.пр60А'!M24+'К.пр62А'!M24+'К.пр62Б'!M24+'К.пр.66А'!M24+'К.пр66Б'!M24+'К.пр66В'!M24+'К.пр76А'!M24+'К.пр78Б'!M24+'К.пр.82А'!M24+'250лет10'!M24+'40лет29'!M24+'40лет29А'!M24+'40лет29Б'!M24+'40лет29В'!M24+'40лет29Д'!M24+'40летПоб31'!M24+'40лет31Б'!M24+'40лет31В'!M24+'40лет33'!M24+'40лет33А'!M24+'40лет33Б'!M24+'40летПоб35'!M24+'40лет35А'!M24+'К.пр76'!M24</f>
        <v>0</v>
      </c>
      <c r="N24" s="70">
        <f t="shared" si="1"/>
        <v>78071.51000000001</v>
      </c>
      <c r="O24" s="72">
        <f>'В13'!O24+'В52А'!O24+'Г28Б'!O24+Лен29А!O24+Лен42!O24+'Св.пр58А'!O24+Мон31!O24+Мон33!O24+Мон35!O24+'Цв.59А'!O24+энг26А!O24+Зах3В!O24+'К.пр60А'!O24+'К.пр62А'!O24+'К.пр62Б'!O24+'К.пр.66А'!O24+'К.пр66Б'!O24+'К.пр66В'!O24+'К.пр76А'!O24+'К.пр78Б'!O24+'К.пр.82А'!O24+'250лет10'!O24+'40лет29'!O24+'40лет29А'!O24+'40лет29Б'!O24+'40лет29В'!O24+'40лет29Д'!O24+'40летПоб31'!O24+'40лет31Б'!O24+'40лет31В'!O24+'40лет33'!O24+'40лет33А'!O24+'40лет33Б'!O24+'40летПоб35'!O24+'40лет35А'!O24+'К.пр76'!O24</f>
        <v>23588.859999999997</v>
      </c>
    </row>
    <row r="25" spans="1:15" ht="12.75">
      <c r="A25" s="38" t="s">
        <v>18</v>
      </c>
      <c r="B25" s="71"/>
      <c r="C25" s="19">
        <f>'В13'!C25+'В52А'!C25+'Г28Б'!C25+Лен29А!C25+Лен42!C25+'Св.пр58А'!C25+Мон31!C25+Мон33!C25+Мон35!C25+'Цв.59А'!C25+энг26А!C25+Зах3В!C25+'К.пр60А'!C25+'К.пр62А'!C25+'К.пр62Б'!C25+'К.пр.66А'!C25+'К.пр66Б'!C25+'К.пр66В'!C25+'К.пр76А'!C25+'К.пр78Б'!C25+'К.пр.82А'!C25+'250лет10'!C25+'40лет29'!C25+'40лет29А'!C25+'40лет29Б'!C25+'40лет29В'!C25+'40лет29Д'!C25+'40летПоб31'!C25+'40лет31Б'!C25+'40лет31В'!C25+'40лет33'!C25+'40лет33А'!C25+'40лет33Б'!C25+'40летПоб35'!C25+'40лет35А'!C25+'К.пр76'!C25</f>
        <v>25623.78</v>
      </c>
      <c r="D25" s="19">
        <f>'В13'!D25+'В52А'!D25+'Г28Б'!D25+Лен29А!D25+Лен42!D25+'Св.пр58А'!D25+Мон31!D25+Мон33!D25+Мон35!D25+'Цв.59А'!D25+энг26А!D25+Зах3В!D25+'К.пр60А'!D25+'К.пр62А'!D25+'К.пр62Б'!D25+'К.пр.66А'!D25+'К.пр66Б'!D25+'К.пр66В'!D25+'К.пр76А'!D25+'К.пр78Б'!D25+'К.пр.82А'!D25+'250лет10'!D25+'40лет29'!D25+'40лет29А'!D25+'40лет29Б'!D25+'40лет29В'!D25+'40лет29Д'!D25+'40летПоб31'!D25+'40лет31Б'!D25+'40лет31В'!D25+'40лет33'!D25+'40лет33А'!D25+'40лет33Б'!D25+'40летПоб35'!D25+'40лет35А'!D25+'К.пр76'!D25</f>
        <v>1500</v>
      </c>
      <c r="E25" s="70">
        <f t="shared" si="3"/>
        <v>27123.78</v>
      </c>
      <c r="F25" s="19">
        <f>'В13'!F25+'В52А'!F25+'Г28Б'!F25+Лен29А!F25+Лен42!F25+'Св.пр58А'!F25+Мон31!F25+Мон33!F25+Мон35!F25+'Цв.59А'!F25+энг26А!F25+Зах3В!F25+'К.пр60А'!F25+'К.пр62А'!F25+'К.пр62Б'!F25+'К.пр.66А'!F25+'К.пр66Б'!F25+'К.пр66В'!F25+'К.пр76А'!F25+'К.пр78Б'!F25+'К.пр.82А'!F25+'250лет10'!F25+'40лет29'!F25+'40лет29А'!F25+'40лет29Б'!F25+'40лет29В'!F25+'40лет29Д'!F25+'40летПоб31'!F25+'40лет31Б'!F25+'40лет31В'!F25+'40лет33'!F25+'40лет33А'!F25+'40лет33Б'!F25+'40летПоб35'!F25+'40лет35А'!F25+'К.пр76'!F25</f>
        <v>55031.69</v>
      </c>
      <c r="G25" s="19">
        <f>'В13'!G25+'В52А'!G25+'Г28Б'!G25+Лен29А!G25+Лен42!G25+'Св.пр58А'!G25+Мон31!G25+Мон33!G25+Мон35!G25+'Цв.59А'!G25+энг26А!G25+Зах3В!G25+'К.пр60А'!G25+'К.пр62А'!G25+'К.пр62Б'!G25+'К.пр.66А'!G25+'К.пр66Б'!G25+'К.пр66В'!G25+'К.пр76А'!G25+'К.пр78Б'!G25+'К.пр.82А'!G25+'250лет10'!G25+'40лет29'!G25+'40лет29А'!G25+'40лет29Б'!G25+'40лет29В'!G25+'40лет29Д'!G25+'40летПоб31'!G25+'40лет31Б'!G25+'40лет31В'!G25+'40лет33'!G25+'40лет33А'!G25+'40лет33Б'!G25+'40летПоб35'!G25+'40лет35А'!G25+'К.пр76'!G25</f>
        <v>0</v>
      </c>
      <c r="H25" s="70">
        <f t="shared" si="2"/>
        <v>55031.69</v>
      </c>
      <c r="I25" s="19">
        <f>'В13'!I25+'В52А'!I25+'Г28Б'!I25+Лен29А!I25+Лен42!I25+'Св.пр58А'!I25+Мон31!I25+Мон33!I25+Мон35!I25+'Цв.59А'!I25+энг26А!I25+Зах3В!I25+'К.пр60А'!I25+'К.пр62А'!I25+'К.пр62Б'!I25+'К.пр.66А'!I25+'К.пр66Б'!I25+'К.пр66В'!I25+'К.пр76А'!I25+'К.пр78Б'!I25+'К.пр.82А'!I25+'250лет10'!I25+'40лет29'!I25+'40лет29А'!I25+'40лет29Б'!I25+'40лет29В'!I25+'40лет29Д'!I25+'40летПоб31'!I25+'40лет31Б'!I25+'40лет31В'!I25+'40лет33'!I25+'40лет33А'!I25+'40лет33Б'!I25+'40летПоб35'!I25+'40лет35А'!I25+'К.пр76'!I25</f>
        <v>49464</v>
      </c>
      <c r="J25" s="19">
        <f>'В13'!J25+'В52А'!J25+'Г28Б'!J25+Лен29А!J25+Лен42!J25+'Св.пр58А'!J25+Мон31!J25+Мон33!J25+Мон35!J25+'Цв.59А'!J25+энг26А!J25+Зах3В!J25+'К.пр60А'!J25+'К.пр62А'!J25+'К.пр62Б'!J25+'К.пр.66А'!J25+'К.пр66Б'!J25+'К.пр66В'!J25+'К.пр76А'!J25+'К.пр78Б'!J25+'К.пр.82А'!J25+'250лет10'!J25+'40лет29'!J25+'40лет29А'!J25+'40лет29Б'!J25+'40лет29В'!J25+'40лет29Д'!J25+'40летПоб31'!J25+'40лет31Б'!J25+'40лет31В'!J25+'40лет33'!J25+'40лет33А'!J25+'40лет33Б'!J25+'40летПоб35'!J25+'40лет35А'!J25+'К.пр76'!J25</f>
        <v>0</v>
      </c>
      <c r="K25" s="70">
        <f t="shared" si="0"/>
        <v>49464</v>
      </c>
      <c r="L25" s="19">
        <f>'В13'!L25+'В52А'!L25+'Г28Б'!L25+Лен29А!L25+Лен42!L25+'Св.пр58А'!L25+Мон31!L25+Мон33!L25+Мон35!L25+'Цв.59А'!L25+энг26А!L25+Зах3В!L25+'К.пр60А'!L25+'К.пр62А'!L25+'К.пр62Б'!L25+'К.пр.66А'!L25+'К.пр66Б'!L25+'К.пр66В'!L25+'К.пр76А'!L25+'К.пр78Б'!L25+'К.пр.82А'!L25+'250лет10'!L25+'40лет29'!L25+'40лет29А'!L25+'40лет29Б'!L25+'40лет29В'!L25+'40лет29Д'!L25+'40летПоб31'!L25+'40лет31Б'!L25+'40лет31В'!L25+'40лет33'!L25+'40лет33А'!L25+'40лет33Б'!L25+'40летПоб35'!L25+'40лет35А'!L25+'К.пр76'!L25</f>
        <v>31191.469999999994</v>
      </c>
      <c r="M25" s="19">
        <f>'В13'!M25+'В52А'!M25+'Г28Б'!M25+Лен29А!M25+Лен42!M25+'Св.пр58А'!M25+Мон31!M25+Мон33!M25+Мон35!M25+'Цв.59А'!M25+энг26А!M25+Зах3В!M25+'К.пр60А'!M25+'К.пр62А'!M25+'К.пр62Б'!M25+'К.пр.66А'!M25+'К.пр66Б'!M25+'К.пр66В'!M25+'К.пр76А'!M25+'К.пр78Б'!M25+'К.пр.82А'!M25+'250лет10'!M25+'40лет29'!M25+'40лет29А'!M25+'40лет29Б'!M25+'40лет29В'!M25+'40лет29Д'!M25+'40летПоб31'!M25+'40лет31Б'!M25+'40лет31В'!M25+'40лет33'!M25+'40лет33А'!M25+'40лет33Б'!M25+'40летПоб35'!M25+'40лет35А'!M25+'К.пр76'!M25</f>
        <v>1500</v>
      </c>
      <c r="N25" s="70">
        <f t="shared" si="1"/>
        <v>32691.469999999994</v>
      </c>
      <c r="O25" s="72">
        <f>'В13'!O25+'В52А'!O25+'Г28Б'!O25+Лен29А!O25+Лен42!O25+'Св.пр58А'!O25+Мон31!O25+Мон33!O25+Мон35!O25+'Цв.59А'!O25+энг26А!O25+Зах3В!O25+'К.пр60А'!O25+'К.пр62А'!O25+'К.пр62Б'!O25+'К.пр.66А'!O25+'К.пр66Б'!O25+'К.пр66В'!O25+'К.пр76А'!O25+'К.пр78Б'!O25+'К.пр.82А'!O25+'250лет10'!O25+'40лет29'!O25+'40лет29А'!O25+'40лет29Б'!O25+'40лет29В'!O25+'40лет29Д'!O25+'40летПоб31'!O25+'40лет31Б'!O25+'40лет31В'!O25+'40лет33'!O25+'40лет33А'!O25+'40лет33Б'!O25+'40летПоб35'!O25+'40лет35А'!O25+'К.пр76'!O25</f>
        <v>55031.69</v>
      </c>
    </row>
    <row r="26" spans="1:15" ht="12.75" outlineLevel="1">
      <c r="A26" s="38" t="s">
        <v>27</v>
      </c>
      <c r="B26" s="71"/>
      <c r="C26" s="19">
        <f>'В13'!C26+'В52А'!C26+'Г28Б'!C26+Лен29А!C26+Лен42!C26+'Св.пр58А'!C26+Мон31!C26+Мон33!C26+Мон35!C26+'Цв.59А'!C26+энг26А!C26+Зах3В!C26+'К.пр60А'!C26+'К.пр62А'!C26+'К.пр62Б'!C26+'К.пр.66А'!C26+'К.пр66Б'!C26+'К.пр66В'!C26+'К.пр76А'!C26+'К.пр78Б'!C26+'К.пр.82А'!C26+'250лет10'!C26+'40лет29'!C26+'40лет29А'!C26+'40лет29Б'!C26+'40лет29В'!C26+'40лет29Д'!C26+'40летПоб31'!C26+'40лет31Б'!C26+'40лет31В'!C26+'40лет33'!C26+'40лет33А'!C26+'40лет33Б'!C26+'40летПоб35'!C26+'40лет35А'!C26+'К.пр76'!C26</f>
        <v>41363.020000000004</v>
      </c>
      <c r="D26" s="19">
        <f>'В13'!D26+'В52А'!D26+'Г28Б'!D26+Лен29А!D26+Лен42!D26+'Св.пр58А'!D26+Мон31!D26+Мон33!D26+Мон35!D26+'Цв.59А'!D26+энг26А!D26+Зах3В!D26+'К.пр60А'!D26+'К.пр62А'!D26+'К.пр62Б'!D26+'К.пр.66А'!D26+'К.пр66Б'!D26+'К.пр66В'!D26+'К.пр76А'!D26+'К.пр78Б'!D26+'К.пр.82А'!D26+'250лет10'!D26+'40лет29'!D26+'40лет29А'!D26+'40лет29Б'!D26+'40лет29В'!D26+'40лет29Д'!D26+'40летПоб31'!D26+'40лет31Б'!D26+'40лет31В'!D26+'40лет33'!D26+'40лет33А'!D26+'40лет33Б'!D26+'40летПоб35'!D26+'40лет35А'!D26+'К.пр76'!D26</f>
        <v>0</v>
      </c>
      <c r="E26" s="70">
        <f t="shared" si="3"/>
        <v>41363.020000000004</v>
      </c>
      <c r="F26" s="19">
        <f>'В13'!F26+'В52А'!F26+'Г28Б'!F26+Лен29А!F26+Лен42!F26+'Св.пр58А'!F26+Мон31!F26+Мон33!F26+Мон35!F26+'Цв.59А'!F26+энг26А!F26+Зах3В!F26+'К.пр60А'!F26+'К.пр62А'!F26+'К.пр62Б'!F26+'К.пр.66А'!F26+'К.пр66Б'!F26+'К.пр66В'!F26+'К.пр76А'!F26+'К.пр78Б'!F26+'К.пр.82А'!F26+'250лет10'!F26+'40лет29'!F26+'40лет29А'!F26+'40лет29Б'!F26+'40лет29В'!F26+'40лет29Д'!F26+'40летПоб31'!F26+'40лет31Б'!F26+'40лет31В'!F26+'40лет33'!F26+'40лет33А'!F26+'40лет33Б'!F26+'40летПоб35'!F26+'40лет35А'!F26+'К.пр76'!F26</f>
        <v>204475.11</v>
      </c>
      <c r="G26" s="19">
        <f>'В13'!G26+'В52А'!G26+'Г28Б'!G26+Лен29А!G26+Лен42!G26+'Св.пр58А'!G26+Мон31!G26+Мон33!G26+Мон35!G26+'Цв.59А'!G26+энг26А!G26+Зах3В!G26+'К.пр60А'!G26+'К.пр62А'!G26+'К.пр62Б'!G26+'К.пр.66А'!G26+'К.пр66Б'!G26+'К.пр66В'!G26+'К.пр76А'!G26+'К.пр78Б'!G26+'К.пр.82А'!G26+'250лет10'!G26+'40лет29'!G26+'40лет29А'!G26+'40лет29Б'!G26+'40лет29В'!G26+'40лет29Д'!G26+'40летПоб31'!G26+'40лет31Б'!G26+'40лет31В'!G26+'40лет33'!G26+'40лет33А'!G26+'40лет33Б'!G26+'40летПоб35'!G26+'40лет35А'!G26+'К.пр76'!G26</f>
        <v>0</v>
      </c>
      <c r="H26" s="70">
        <f t="shared" si="2"/>
        <v>204475.11</v>
      </c>
      <c r="I26" s="19">
        <f>'В13'!I26+'В52А'!I26+'Г28Б'!I26+Лен29А!I26+Лен42!I26+'Св.пр58А'!I26+Мон31!I26+Мон33!I26+Мон35!I26+'Цв.59А'!I26+энг26А!I26+Зах3В!I26+'К.пр60А'!I26+'К.пр62А'!I26+'К.пр62Б'!I26+'К.пр.66А'!I26+'К.пр66Б'!I26+'К.пр66В'!I26+'К.пр76А'!I26+'К.пр78Б'!I26+'К.пр.82А'!I26+'250лет10'!I26+'40лет29'!I26+'40лет29А'!I26+'40лет29Б'!I26+'40лет29В'!I26+'40лет29Д'!I26+'40летПоб31'!I26+'40лет31Б'!I26+'40лет31В'!I26+'40лет33'!I26+'40лет33А'!I26+'40лет33Б'!I26+'40летПоб35'!I26+'40лет35А'!I26+'К.пр76'!I26</f>
        <v>203028.92</v>
      </c>
      <c r="J26" s="19">
        <f>'В13'!J26+'В52А'!J26+'Г28Б'!J26+Лен29А!J26+Лен42!J26+'Св.пр58А'!J26+Мон31!J26+Мон33!J26+Мон35!J26+'Цв.59А'!J26+энг26А!J26+Зах3В!J26+'К.пр60А'!J26+'К.пр62А'!J26+'К.пр62Б'!J26+'К.пр.66А'!J26+'К.пр66Б'!J26+'К.пр66В'!J26+'К.пр76А'!J26+'К.пр78Б'!J26+'К.пр.82А'!J26+'250лет10'!J26+'40лет29'!J26+'40лет29А'!J26+'40лет29Б'!J26+'40лет29В'!J26+'40лет29Д'!J26+'40летПоб31'!J26+'40лет31Б'!J26+'40лет31В'!J26+'40лет33'!J26+'40лет33А'!J26+'40лет33Б'!J26+'40летПоб35'!J26+'40лет35А'!J26+'К.пр76'!J26</f>
        <v>0</v>
      </c>
      <c r="K26" s="70">
        <f t="shared" si="0"/>
        <v>203028.92</v>
      </c>
      <c r="L26" s="19">
        <f>'В13'!L26+'В52А'!L26+'Г28Б'!L26+Лен29А!L26+Лен42!L26+'Св.пр58А'!L26+Мон31!L26+Мон33!L26+Мон35!L26+'Цв.59А'!L26+энг26А!L26+Зах3В!L26+'К.пр60А'!L26+'К.пр62А'!L26+'К.пр62Б'!L26+'К.пр.66А'!L26+'К.пр66Б'!L26+'К.пр66В'!L26+'К.пр76А'!L26+'К.пр78Б'!L26+'К.пр.82А'!L26+'250лет10'!L26+'40лет29'!L26+'40лет29А'!L26+'40лет29Б'!L26+'40лет29В'!L26+'40лет29Д'!L26+'40летПоб31'!L26+'40лет31Б'!L26+'40лет31В'!L26+'40лет33'!L26+'40лет33А'!L26+'40лет33Б'!L26+'40летПоб35'!L26+'40лет35А'!L26+'К.пр76'!L26</f>
        <v>42809.20999999999</v>
      </c>
      <c r="M26" s="19">
        <f>'В13'!M26+'В52А'!M26+'Г28Б'!M26+Лен29А!M26+Лен42!M26+'Св.пр58А'!M26+Мон31!M26+Мон33!M26+Мон35!M26+'Цв.59А'!M26+энг26А!M26+Зах3В!M26+'К.пр60А'!M26+'К.пр62А'!M26+'К.пр62Б'!M26+'К.пр.66А'!M26+'К.пр66Б'!M26+'К.пр66В'!M26+'К.пр76А'!M26+'К.пр78Б'!M26+'К.пр.82А'!M26+'250лет10'!M26+'40лет29'!M26+'40лет29А'!M26+'40лет29Б'!M26+'40лет29В'!M26+'40лет29Д'!M26+'40летПоб31'!M26+'40лет31Б'!M26+'40лет31В'!M26+'40лет33'!M26+'40лет33А'!M26+'40лет33Б'!M26+'40летПоб35'!M26+'40лет35А'!M26+'К.пр76'!M26</f>
        <v>0</v>
      </c>
      <c r="N26" s="70">
        <f t="shared" si="1"/>
        <v>42809.20999999999</v>
      </c>
      <c r="O26" s="72">
        <f>'В13'!O26+'В52А'!O26+'Г28Б'!O26+Лен29А!O26+Лен42!O26+'Св.пр58А'!O26+Мон31!O26+Мон33!O26+Мон35!O26+'Цв.59А'!O26+энг26А!O26+Зах3В!O26+'К.пр60А'!O26+'К.пр62А'!O26+'К.пр62Б'!O26+'К.пр.66А'!O26+'К.пр66Б'!O26+'К.пр66В'!O26+'К.пр76А'!O26+'К.пр78Б'!O26+'К.пр.82А'!O26+'250лет10'!O26+'40лет29'!O26+'40лет29А'!O26+'40лет29Б'!O26+'40лет29В'!O26+'40лет29Д'!O26+'40летПоб31'!O26+'40лет31Б'!O26+'40лет31В'!O26+'40лет33'!O26+'40лет33А'!O26+'40лет33Б'!O26+'40летПоб35'!O26+'40лет35А'!O26+'К.пр76'!O26</f>
        <v>766538.71</v>
      </c>
    </row>
    <row r="27" spans="1:15" ht="12.75" outlineLevel="1" collapsed="1">
      <c r="A27" s="38" t="s">
        <v>11</v>
      </c>
      <c r="B27" s="71"/>
      <c r="C27" s="19">
        <f>'В13'!C27+'В52А'!C27+'Г28Б'!C27+Лен29А!C27+Лен42!C27+'Св.пр58А'!C27+Мон31!C27+Мон33!C27+Мон35!C27+'Цв.59А'!C27+энг26А!C27+Зах3В!C27+'К.пр60А'!C27+'К.пр62А'!C27+'К.пр62Б'!C27+'К.пр.66А'!C27+'К.пр66Б'!C27+'К.пр66В'!C27+'К.пр76А'!C27+'К.пр78Б'!C27+'К.пр.82А'!C27+'250лет10'!C27+'40лет29'!C27+'40лет29А'!C27+'40лет29Б'!C27+'40лет29В'!C27+'40лет29Д'!C27+'40летПоб31'!C27+'40лет31Б'!C27+'40лет31В'!C27+'40лет33'!C27+'40лет33А'!C27+'40лет33Б'!C27+'40летПоб35'!C27+'40лет35А'!C27+'К.пр76'!C27</f>
        <v>289205.82</v>
      </c>
      <c r="D27" s="19">
        <f>'В13'!D27+'В52А'!D27+'Г28Б'!D27+Лен29А!D27+Лен42!D27+'Св.пр58А'!D27+Мон31!D27+Мон33!D27+Мон35!D27+'Цв.59А'!D27+энг26А!D27+Зах3В!D27+'К.пр60А'!D27+'К.пр62А'!D27+'К.пр62Б'!D27+'К.пр.66А'!D27+'К.пр66Б'!D27+'К.пр66В'!D27+'К.пр76А'!D27+'К.пр78Б'!D27+'К.пр.82А'!D27+'250лет10'!D27+'40лет29'!D27+'40лет29А'!D27+'40лет29Б'!D27+'40лет29В'!D27+'40лет29Д'!D27+'40летПоб31'!D27+'40лет31Б'!D27+'40лет31В'!D27+'40лет33'!D27+'40лет33А'!D27+'40лет33Б'!D27+'40летПоб35'!D27+'40лет35А'!D27+'К.пр76'!D27</f>
        <v>10655.380000000001</v>
      </c>
      <c r="E27" s="70">
        <f t="shared" si="3"/>
        <v>299861.2</v>
      </c>
      <c r="F27" s="19">
        <f>'В13'!F27+'В52А'!F27+'Г28Б'!F27+Лен29А!F27+Лен42!F27+'Св.пр58А'!F27+Мон31!F27+Мон33!F27+Мон35!F27+'Цв.59А'!F27+энг26А!F27+Зах3В!F27+'К.пр60А'!F27+'К.пр62А'!F27+'К.пр62Б'!F27+'К.пр.66А'!F27+'К.пр66Б'!F27+'К.пр66В'!F27+'К.пр76А'!F27+'К.пр78Б'!F27+'К.пр.82А'!F27+'250лет10'!F27+'40лет29'!F27+'40лет29А'!F27+'40лет29Б'!F27+'40лет29В'!F27+'40лет29Д'!F27+'40летПоб31'!F27+'40лет31Б'!F27+'40лет31В'!F27+'40лет33'!F27+'40лет33А'!F27+'40лет33Б'!F27+'40летПоб35'!F27+'40лет35А'!F27+'К.пр76'!F27</f>
        <v>-209016.13</v>
      </c>
      <c r="G27" s="19">
        <f>'В13'!G27+'В52А'!G27+'Г28Б'!G27+Лен29А!G27+Лен42!G27+'Св.пр58А'!G27+Мон31!G27+Мон33!G27+Мон35!G27+'Цв.59А'!G27+энг26А!G27+Зах3В!G27+'К.пр60А'!G27+'К.пр62А'!G27+'К.пр62Б'!G27+'К.пр.66А'!G27+'К.пр66Б'!G27+'К.пр66В'!G27+'К.пр76А'!G27+'К.пр78Б'!G27+'К.пр.82А'!G27+'250лет10'!G27+'40лет29'!G27+'40лет29А'!G27+'40лет29Б'!G27+'40лет29В'!G27+'40лет29Д'!G27+'40летПоб31'!G27+'40лет31Б'!G27+'40лет31В'!G27+'40лет33'!G27+'40лет33А'!G27+'40лет33Б'!G27+'40летПоб35'!G27+'40лет35А'!G27+'К.пр76'!G27</f>
        <v>4262.76</v>
      </c>
      <c r="H27" s="70">
        <f t="shared" si="2"/>
        <v>-204753.37</v>
      </c>
      <c r="I27" s="19">
        <f>'В13'!I27+'В52А'!I27+'Г28Б'!I27+Лен29А!I27+Лен42!I27+'Св.пр58А'!I27+Мон31!I27+Мон33!I27+Мон35!I27+'Цв.59А'!I27+энг26А!I27+Зах3В!I27+'К.пр60А'!I27+'К.пр62А'!I27+'К.пр62Б'!I27+'К.пр.66А'!I27+'К.пр66Б'!I27+'К.пр66В'!I27+'К.пр76А'!I27+'К.пр78Б'!I27+'К.пр.82А'!I27+'250лет10'!I27+'40лет29'!I27+'40лет29А'!I27+'40лет29Б'!I27+'40лет29В'!I27+'40лет29Д'!I27+'40летПоб31'!I27+'40лет31Б'!I27+'40лет31В'!I27+'40лет33'!I27+'40лет33А'!I27+'40лет33Б'!I27+'40летПоб35'!I27+'40лет35А'!I27+'К.пр76'!I27</f>
        <v>13280.490000000002</v>
      </c>
      <c r="J27" s="19">
        <f>'В13'!J27+'В52А'!J27+'Г28Б'!J27+Лен29А!J27+Лен42!J27+'Св.пр58А'!J27+Мон31!J27+Мон33!J27+Мон35!J27+'Цв.59А'!J27+энг26А!J27+Зах3В!J27+'К.пр60А'!J27+'К.пр62А'!J27+'К.пр62Б'!J27+'К.пр.66А'!J27+'К.пр66Б'!J27+'К.пр66В'!J27+'К.пр76А'!J27+'К.пр78Б'!J27+'К.пр.82А'!J27+'250лет10'!J27+'40лет29'!J27+'40лет29А'!J27+'40лет29Б'!J27+'40лет29В'!J27+'40лет29Д'!J27+'40летПоб31'!J27+'40лет31Б'!J27+'40лет31В'!J27+'40лет33'!J27+'40лет33А'!J27+'40лет33Б'!J27+'40летПоб35'!J27+'40лет35А'!J27+'К.пр76'!J27</f>
        <v>11216.69</v>
      </c>
      <c r="K27" s="70">
        <f t="shared" si="0"/>
        <v>24497.18</v>
      </c>
      <c r="L27" s="19">
        <f>'В13'!L27+'В52А'!L27+'Г28Б'!L27+Лен29А!L27+Лен42!L27+'Св.пр58А'!L27+Мон31!L27+Мон33!L27+Мон35!L27+'Цв.59А'!L27+энг26А!L27+Зах3В!L27+'К.пр60А'!L27+'К.пр62А'!L27+'К.пр62Б'!L27+'К.пр.66А'!L27+'К.пр66Б'!L27+'К.пр66В'!L27+'К.пр76А'!L27+'К.пр78Б'!L27+'К.пр.82А'!L27+'250лет10'!L27+'40лет29'!L27+'40лет29А'!L27+'40лет29Б'!L27+'40лет29В'!L27+'40лет29Д'!L27+'40летПоб31'!L27+'40лет31Б'!L27+'40лет31В'!L27+'40лет33'!L27+'40лет33А'!L27+'40лет33Б'!L27+'40летПоб35'!L27+'40лет35А'!L27+'К.пр76'!L27</f>
        <v>66909.20000000001</v>
      </c>
      <c r="M27" s="19">
        <f>'В13'!M27+'В52А'!M27+'Г28Б'!M27+Лен29А!M27+Лен42!M27+'Св.пр58А'!M27+Мон31!M27+Мон33!M27+Мон35!M27+'Цв.59А'!M27+энг26А!M27+Зах3В!M27+'К.пр60А'!M27+'К.пр62А'!M27+'К.пр62Б'!M27+'К.пр.66А'!M27+'К.пр66Б'!M27+'К.пр66В'!M27+'К.пр76А'!M27+'К.пр78Б'!M27+'К.пр.82А'!M27+'250лет10'!M27+'40лет29'!M27+'40лет29А'!M27+'40лет29Б'!M27+'40лет29В'!M27+'40лет29Д'!M27+'40летПоб31'!M27+'40лет31Б'!M27+'40лет31В'!M27+'40лет33'!M27+'40лет33А'!M27+'40лет33Б'!M27+'40летПоб35'!M27+'40лет35А'!M27+'К.пр76'!M27</f>
        <v>3701.4500000000003</v>
      </c>
      <c r="N27" s="70">
        <f t="shared" si="1"/>
        <v>70610.65000000001</v>
      </c>
      <c r="O27" s="72">
        <f>'В13'!O27+'В52А'!O27+'Г28Б'!O27+Лен29А!O27+Лен42!O27+'Св.пр58А'!O27+Мон31!O27+Мон33!O27+Мон35!O27+'Цв.59А'!O27+энг26А!O27+Зах3В!O27+'К.пр60А'!O27+'К.пр62А'!O27+'К.пр62Б'!O27+'К.пр.66А'!O27+'К.пр66Б'!O27+'К.пр66В'!O27+'К.пр76А'!O27+'К.пр78Б'!O27+'К.пр.82А'!O27+'250лет10'!O27+'40лет29'!O27+'40лет29А'!O27+'40лет29Б'!O27+'40лет29В'!O27+'40лет29Д'!O27+'40летПоб31'!O27+'40лет31Б'!O27+'40лет31В'!O27+'40лет33'!O27+'40лет33А'!O27+'40лет33Б'!O27+'40летПоб35'!O27+'40лет35А'!O27+'К.пр76'!O27</f>
        <v>0</v>
      </c>
    </row>
    <row r="28" spans="1:15" ht="12.75">
      <c r="A28" s="41" t="s">
        <v>12</v>
      </c>
      <c r="B28" s="66"/>
      <c r="C28" s="46">
        <f>SUM(C14:C27)</f>
        <v>10400929.079999998</v>
      </c>
      <c r="D28" s="46">
        <f aca="true" t="shared" si="4" ref="D28:O28">SUM(D14:D27)</f>
        <v>2046948.4699999995</v>
      </c>
      <c r="E28" s="59">
        <f t="shared" si="4"/>
        <v>12447877.549999997</v>
      </c>
      <c r="F28" s="46">
        <f t="shared" si="4"/>
        <v>42366469.279999994</v>
      </c>
      <c r="G28" s="46">
        <f t="shared" si="4"/>
        <v>7678454.06</v>
      </c>
      <c r="H28" s="59">
        <f t="shared" si="4"/>
        <v>50044923.339999996</v>
      </c>
      <c r="I28" s="46">
        <f t="shared" si="4"/>
        <v>43440852.97</v>
      </c>
      <c r="J28" s="46">
        <f t="shared" si="4"/>
        <v>6721712.01</v>
      </c>
      <c r="K28" s="59">
        <f t="shared" si="4"/>
        <v>50162564.97999999</v>
      </c>
      <c r="L28" s="46">
        <f t="shared" si="4"/>
        <v>9326545.389999999</v>
      </c>
      <c r="M28" s="46">
        <f t="shared" si="4"/>
        <v>3001002.8218278834</v>
      </c>
      <c r="N28" s="59">
        <f t="shared" si="4"/>
        <v>12327548.211827885</v>
      </c>
      <c r="O28" s="65">
        <f t="shared" si="4"/>
        <v>45059570.79299999</v>
      </c>
    </row>
    <row r="29" spans="1:15" ht="12.75">
      <c r="A29" s="12"/>
      <c r="B29" s="12"/>
      <c r="C29" s="12"/>
      <c r="D29" s="12"/>
      <c r="E29" s="12"/>
      <c r="F29" s="47"/>
      <c r="G29" s="12"/>
      <c r="H29" s="47"/>
      <c r="I29" s="12"/>
      <c r="J29" s="12"/>
      <c r="K29" s="47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47"/>
      <c r="G30" s="47"/>
      <c r="H30" s="47"/>
      <c r="I30" s="47"/>
      <c r="J30" s="47"/>
      <c r="K30" s="47"/>
      <c r="L30" s="12"/>
      <c r="M30" s="12"/>
      <c r="N30" s="12"/>
      <c r="O30" s="12"/>
    </row>
    <row r="31" spans="1:15" s="23" customFormat="1" ht="12.75">
      <c r="A31" s="51" t="s">
        <v>34</v>
      </c>
      <c r="B31" s="51"/>
      <c r="C31" s="51"/>
      <c r="D31" s="51"/>
      <c r="E31" s="51"/>
      <c r="F31" s="69">
        <f>SUM(F32:F40)</f>
        <v>5860156.4</v>
      </c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.75">
      <c r="A32" s="52" t="s">
        <v>39</v>
      </c>
      <c r="B32" s="52"/>
      <c r="C32" s="12"/>
      <c r="D32" s="12"/>
      <c r="E32" s="12"/>
      <c r="F32" s="47">
        <f>'В13'!F32+'В52А'!F32+'Г28Б'!F32+Лен29А!F32+Лен42!F32+'Св.пр58А'!F32+Мон31!F32+Мон33!F32+Мон35!F32+'Цв.59А'!F32+энг26А!F32+Зах3В!F32+'К.пр60А'!F32+'К.пр62А'!F32+'К.пр62Б'!F32+'К.пр.66А'!F32+'К.пр66Б'!F32+'К.пр66В'!F32+'К.пр76А'!F32+'К.пр78Б'!F32+'К.пр.82А'!F32+'250лет10'!F32+'40лет29'!F32+'40лет29А'!F32+'40лет29Б'!F32+'40лет29В'!F32+'40лет29Д'!F32+'40летПоб31'!F32+'40лет31Б'!F32+'40лет31В'!F32+'40лет33'!F32+'40лет33А'!F32+'40лет33Б'!F32+'40летПоб35'!F32+'40лет35А'!F32+'К.пр76'!F32</f>
        <v>14290.630000000001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47">
        <f>'В13'!F33+'В52А'!F33+'Г28Б'!F33+Лен29А!F33+Лен42!F33+'Св.пр58А'!F33+Мон31!F33+Мон33!F33+Мон35!F33+'Цв.59А'!F33+энг26А!F33+Зах3В!F33+'К.пр60А'!F33+'К.пр62А'!F33+'К.пр62Б'!F33+'К.пр.66А'!F33+'К.пр66Б'!F33+'К.пр66В'!F33+'К.пр76А'!F33+'К.пр78Б'!F33+'К.пр.82А'!F33+'250лет10'!F33+'40лет29'!F33+'40лет29А'!F33+'40лет29Б'!F33+'40лет29В'!F33+'40лет29Д'!F33+'40летПоб31'!F33+'40лет31Б'!F33+'40лет31В'!F33+'40лет33'!F33+'40лет33А'!F33+'40лет33Б'!F33+'40летПоб35'!F33+'40лет35А'!F33+'К.пр76'!F33</f>
        <v>916627.9700000001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47">
        <f>'В13'!F34+'В52А'!F34+'Г28Б'!F34+Лен29А!F34+Лен42!F34+'Св.пр58А'!F34+Мон31!F34+Мон33!F34+Мон35!F34+'Цв.59А'!F34+энг26А!F34+Зах3В!F34+'К.пр60А'!F34+'К.пр62А'!F34+'К.пр62Б'!F34+'К.пр.66А'!F34+'К.пр66Б'!F34+'К.пр66В'!F34+'К.пр76А'!F34+'К.пр78Б'!F34+'К.пр.82А'!F34+'250лет10'!F34+'40лет29'!F34+'40лет29А'!F34+'40лет29Б'!F34+'40лет29В'!F34+'40лет29Д'!F34+'40летПоб31'!F34+'40лет31Б'!F34+'40лет31В'!F34+'40лет33'!F34+'40лет33А'!F34+'40лет33Б'!F34+'40летПоб35'!F34+'40лет35А'!F34+'К.пр76'!F34</f>
        <v>6190.979999999997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47">
        <f>'В13'!F35+'В52А'!F35+'Г28Б'!F35+Лен29А!F35+Лен42!F35+'Св.пр58А'!F35+Мон31!F35+Мон33!F35+Мон35!F35+'Цв.59А'!F35+энг26А!F35+Зах3В!F35+'К.пр60А'!F35+'К.пр62А'!F35+'К.пр62Б'!F35+'К.пр.66А'!F35+'К.пр66Б'!F35+'К.пр66В'!F35+'К.пр76А'!F35+'К.пр78Б'!F35+'К.пр.82А'!F35+'250лет10'!F35+'40лет29'!F35+'40лет29А'!F35+'40лет29Б'!F35+'40лет29В'!F35+'40лет29Д'!F35+'40летПоб31'!F35+'40лет31Б'!F35+'40лет31В'!F35+'40лет33'!F35+'40лет33А'!F35+'40лет33Б'!F35+'40летПоб35'!F35+'40лет35А'!F35+'К.пр76'!F35</f>
        <v>4447808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47">
        <f>'В13'!F36+'В52А'!F36+'Г28Б'!F36+Лен29А!F36+Лен42!F36+'Св.пр58А'!F36+Мон31!F36+Мон33!F36+Мон35!F36+'Цв.59А'!F36+энг26А!F36+Зах3В!F36+'К.пр60А'!F36+'К.пр62А'!F36+'К.пр62Б'!F36+'К.пр.66А'!F36+'К.пр66Б'!F36+'К.пр66В'!F36+'К.пр76А'!F36+'К.пр78Б'!F36+'К.пр.82А'!F36+'250лет10'!F36+'40лет29'!F36+'40лет29А'!F36+'40лет29Б'!F36+'40лет29В'!F36+'40лет29Д'!F36+'40летПоб31'!F36+'40лет31Б'!F36+'40лет31В'!F36+'40лет33'!F36+'40лет33А'!F36+'40лет33Б'!F36+'40летПоб35'!F36+'40лет35А'!F36+'К.пр76'!F36</f>
        <v>249847.37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47">
        <f>'В13'!F37+'В52А'!F37+'Г28Б'!F37+Лен29А!F37+Лен42!F37+'Св.пр58А'!F37+Мон31!F37+Мон33!F37+Мон35!F37+'Цв.59А'!F37+энг26А!F37+Зах3В!F37+'К.пр60А'!F37+'К.пр62А'!F37+'К.пр62Б'!F37+'К.пр.66А'!F37+'К.пр66Б'!F37+'К.пр66В'!F37+'К.пр76А'!F37+'К.пр78Б'!F37+'К.пр.82А'!F37+'250лет10'!F37+'40лет29'!F37+'40лет29А'!F37+'40лет29Б'!F37+'40лет29В'!F37+'40лет29Д'!F37+'40летПоб31'!F37+'40лет31Б'!F37+'40лет31В'!F37+'40лет33'!F37+'40лет33А'!F37+'40лет33Б'!F37+'40летПоб35'!F37+'40лет35А'!F37+'К.пр76'!F37</f>
        <v>18212.949999999997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47">
        <f>'В13'!F38+'В52А'!F38+'Г28Б'!F38+Лен29А!F38+Лен42!F38+'Св.пр58А'!F38+Мон31!F38+Мон33!F38+Мон35!F38+'Цв.59А'!F38+энг26А!F38+Зах3В!F38+'К.пр60А'!F38+'К.пр62А'!F38+'К.пр62Б'!F38+'К.пр.66А'!F38+'К.пр66Б'!F38+'К.пр66В'!F38+'К.пр76А'!F38+'К.пр78Б'!F38+'К.пр.82А'!F38+'250лет10'!F38+'40лет29'!F38+'40лет29А'!F38+'40лет29Б'!F38+'40лет29В'!F38+'40лет29Д'!F38+'40летПоб31'!F38+'40лет31Б'!F38+'40лет31В'!F38+'40лет33'!F38+'40лет33А'!F38+'40лет33Б'!F38+'40летПоб35'!F38+'40лет35А'!F38+'К.пр76'!F38</f>
        <v>210.01000000000002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47">
        <f>'В13'!F39+'В52А'!F39+'Г28Б'!F39+Лен29А!F39+Лен42!F39+'Св.пр58А'!F39+Мон31!F39+Мон33!F39+Мон35!F39+'Цв.59А'!F39+энг26А!F39+Зах3В!F39+'К.пр60А'!F39+'К.пр62А'!F39+'К.пр62Б'!F39+'К.пр.66А'!F39+'К.пр66Б'!F39+'К.пр66В'!F39+'К.пр76А'!F39+'К.пр78Б'!F39+'К.пр.82А'!F39+'250лет10'!F39+'40лет29'!F39+'40лет29А'!F39+'40лет29Б'!F39+'40лет29В'!F39+'40лет29Д'!F39+'40летПоб31'!F39+'40лет31Б'!F39+'40лет31В'!F39+'40лет33'!F39+'40лет33А'!F39+'40лет33Б'!F39+'40летПоб35'!F39+'40лет35А'!F39+'К.пр76'!F39</f>
        <v>205853.49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47">
        <f>'В13'!F40+'В52А'!F40+'Г28Б'!F40+Лен29А!F40+Лен42!F40+'Св.пр58А'!F40+Мон31!F40+Мон33!F40+Мон35!F40+'Цв.59А'!F40+энг26А!F40+Зах3В!F40+'К.пр60А'!F40+'К.пр62А'!F40+'К.пр62Б'!F40+'К.пр.66А'!F40+'К.пр66Б'!F40+'К.пр66В'!F40+'К.пр76А'!F40+'К.пр78Б'!F40+'К.пр.82А'!F40+'250лет10'!F40+'40лет29'!F40+'40лет29А'!F40+'40лет29Б'!F40+'40лет29В'!F40+'40лет29Д'!F40+'40летПоб31'!F40+'40лет31Б'!F40+'40лет31В'!F40+'40лет33'!F40+'40лет33А'!F40+'40лет33Б'!F40+'40летПоб35'!F40+'40лет35А'!F40+'К.пр76'!F40</f>
        <v>1115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51"/>
      <c r="G41" s="12"/>
      <c r="H41" s="47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5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4">
      <selection activeCell="R13" sqref="R13"/>
    </sheetView>
  </sheetViews>
  <sheetFormatPr defaultColWidth="9.00390625" defaultRowHeight="12.75" outlineLevelRow="1" outlineLevelCol="1"/>
  <cols>
    <col min="1" max="1" width="17.25390625" style="0" customWidth="1"/>
    <col min="2" max="2" width="17.25390625" style="0" hidden="1" customWidth="1" outlineLevel="1"/>
    <col min="3" max="3" width="9.125" style="0" customWidth="1" collapsed="1"/>
    <col min="4" max="4" width="10.375" style="0" customWidth="1"/>
  </cols>
  <sheetData>
    <row r="1" spans="1:15" ht="13.5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0" t="s">
        <v>48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/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/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/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/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/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 t="s">
        <v>14</v>
      </c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ustomHeight="1" hidden="1" outlineLevel="1">
      <c r="A17" s="39" t="s">
        <v>16</v>
      </c>
      <c r="B17" s="67"/>
      <c r="C17" s="25">
        <v>0</v>
      </c>
      <c r="D17" s="25">
        <v>0</v>
      </c>
      <c r="E17" s="61">
        <f>SUM(C17:D17)</f>
        <v>0</v>
      </c>
      <c r="F17" s="40"/>
      <c r="G17" s="25"/>
      <c r="H17" s="63">
        <f aca="true" t="shared" si="3" ref="H17:H27">F17+G17</f>
        <v>0</v>
      </c>
      <c r="I17" s="25"/>
      <c r="J17" s="26"/>
      <c r="K17" s="63">
        <f t="shared" si="0"/>
        <v>0</v>
      </c>
      <c r="L17" s="25">
        <f t="shared" si="1"/>
        <v>0</v>
      </c>
      <c r="M17" s="25">
        <f t="shared" si="1"/>
        <v>0</v>
      </c>
      <c r="N17" s="61">
        <f t="shared" si="2"/>
        <v>0</v>
      </c>
      <c r="O17" s="56"/>
    </row>
    <row r="18" spans="1:15" ht="24" collapsed="1">
      <c r="A18" s="38" t="s">
        <v>13</v>
      </c>
      <c r="B18" s="67"/>
      <c r="C18" s="25">
        <v>8333.89</v>
      </c>
      <c r="D18" s="25">
        <v>0</v>
      </c>
      <c r="E18" s="61">
        <f aca="true" t="shared" si="4" ref="E18:E27">SUM(C18:D18)</f>
        <v>8333.89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8333.89</v>
      </c>
      <c r="M18" s="25">
        <f t="shared" si="1"/>
        <v>0</v>
      </c>
      <c r="N18" s="61">
        <f t="shared" si="2"/>
        <v>8333.89</v>
      </c>
      <c r="O18" s="56"/>
    </row>
    <row r="19" spans="1:15" ht="24" outlineLevel="1">
      <c r="A19" s="38" t="s">
        <v>15</v>
      </c>
      <c r="B19" s="67"/>
      <c r="C19" s="25">
        <v>-387.28</v>
      </c>
      <c r="D19" s="25">
        <v>0</v>
      </c>
      <c r="E19" s="61">
        <f t="shared" si="4"/>
        <v>-387.28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-387.28</v>
      </c>
      <c r="M19" s="25">
        <f t="shared" si="1"/>
        <v>0</v>
      </c>
      <c r="N19" s="61">
        <f t="shared" si="2"/>
        <v>-387.28</v>
      </c>
      <c r="O19" s="56"/>
    </row>
    <row r="20" spans="1:15" ht="36">
      <c r="A20" s="38" t="s">
        <v>8</v>
      </c>
      <c r="B20" s="67"/>
      <c r="C20" s="25">
        <v>38879.54</v>
      </c>
      <c r="D20" s="25">
        <v>0</v>
      </c>
      <c r="E20" s="61">
        <f t="shared" si="4"/>
        <v>38879.54</v>
      </c>
      <c r="F20" s="25"/>
      <c r="G20" s="25"/>
      <c r="H20" s="63">
        <f t="shared" si="3"/>
        <v>0</v>
      </c>
      <c r="I20" s="25"/>
      <c r="J20" s="26"/>
      <c r="K20" s="63">
        <f t="shared" si="0"/>
        <v>0</v>
      </c>
      <c r="L20" s="25">
        <f t="shared" si="1"/>
        <v>38879.54</v>
      </c>
      <c r="M20" s="25">
        <f t="shared" si="1"/>
        <v>0</v>
      </c>
      <c r="N20" s="61">
        <f t="shared" si="2"/>
        <v>38879.54</v>
      </c>
      <c r="O20" s="56"/>
    </row>
    <row r="21" spans="1:15" ht="12.75">
      <c r="A21" s="38" t="s">
        <v>10</v>
      </c>
      <c r="B21" s="67"/>
      <c r="C21" s="25">
        <v>669.07</v>
      </c>
      <c r="D21" s="25">
        <v>0</v>
      </c>
      <c r="E21" s="61">
        <f t="shared" si="4"/>
        <v>669.07</v>
      </c>
      <c r="F21" s="25"/>
      <c r="G21" s="25"/>
      <c r="H21" s="63">
        <f t="shared" si="3"/>
        <v>0</v>
      </c>
      <c r="I21" s="25"/>
      <c r="J21" s="26"/>
      <c r="K21" s="63">
        <f t="shared" si="0"/>
        <v>0</v>
      </c>
      <c r="L21" s="25">
        <f t="shared" si="1"/>
        <v>669.07</v>
      </c>
      <c r="M21" s="25">
        <f t="shared" si="1"/>
        <v>0</v>
      </c>
      <c r="N21" s="61">
        <f t="shared" si="2"/>
        <v>669.07</v>
      </c>
      <c r="O21" s="56"/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36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0</v>
      </c>
      <c r="D24" s="25">
        <v>0</v>
      </c>
      <c r="E24" s="61">
        <f t="shared" si="4"/>
        <v>0</v>
      </c>
      <c r="F24" s="25"/>
      <c r="G24" s="25"/>
      <c r="H24" s="63">
        <f t="shared" si="3"/>
        <v>0</v>
      </c>
      <c r="I24" s="25"/>
      <c r="J24" s="26"/>
      <c r="K24" s="63">
        <f t="shared" si="0"/>
        <v>0</v>
      </c>
      <c r="L24" s="25">
        <f t="shared" si="1"/>
        <v>0</v>
      </c>
      <c r="M24" s="25">
        <f t="shared" si="1"/>
        <v>0</v>
      </c>
      <c r="N24" s="61">
        <f t="shared" si="2"/>
        <v>0</v>
      </c>
      <c r="O24" s="56"/>
    </row>
    <row r="25" spans="1:15" ht="12.75" outlineLevel="1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 outlineLevel="1">
      <c r="A26" s="38" t="s">
        <v>27</v>
      </c>
      <c r="B26" s="67"/>
      <c r="C26" s="25">
        <v>8544</v>
      </c>
      <c r="D26" s="25">
        <v>0</v>
      </c>
      <c r="E26" s="61">
        <f t="shared" si="4"/>
        <v>8544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8544</v>
      </c>
      <c r="M26" s="25">
        <f t="shared" si="1"/>
        <v>0</v>
      </c>
      <c r="N26" s="61">
        <f t="shared" si="2"/>
        <v>8544</v>
      </c>
      <c r="O26" s="56"/>
    </row>
    <row r="27" spans="1:15" ht="12.75">
      <c r="A27" s="38" t="s">
        <v>11</v>
      </c>
      <c r="B27" s="67"/>
      <c r="C27" s="25">
        <v>0</v>
      </c>
      <c r="D27" s="25">
        <v>0</v>
      </c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>
      <c r="A28" s="41" t="s">
        <v>12</v>
      </c>
      <c r="B28" s="68"/>
      <c r="C28" s="42">
        <f>SUM(C14:C27)</f>
        <v>56039.22</v>
      </c>
      <c r="D28" s="42">
        <f>SUM(D14:D27)</f>
        <v>0</v>
      </c>
      <c r="E28" s="62">
        <f>SUM(C28:D28)</f>
        <v>56039.22</v>
      </c>
      <c r="F28" s="43">
        <f>SUM(F14:F27)</f>
        <v>0</v>
      </c>
      <c r="G28" s="42">
        <f>SUM(G14:G27)</f>
        <v>0</v>
      </c>
      <c r="H28" s="64">
        <f>F28+G28</f>
        <v>0</v>
      </c>
      <c r="I28" s="43">
        <f>SUM(I14:I27)</f>
        <v>0</v>
      </c>
      <c r="J28" s="45">
        <f>SUM(J14:J27)</f>
        <v>0</v>
      </c>
      <c r="K28" s="64">
        <f>I28+J28</f>
        <v>0</v>
      </c>
      <c r="L28" s="46">
        <f>SUM(L14:L27)</f>
        <v>56039.22</v>
      </c>
      <c r="M28" s="44">
        <f>SUM(M14:M27)</f>
        <v>0</v>
      </c>
      <c r="N28" s="62">
        <f>L28+M28</f>
        <v>56039.22</v>
      </c>
      <c r="O28" s="57">
        <f>SUM(O14:O27)</f>
        <v>0</v>
      </c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hidden="1" outlineLevel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 hidden="1" outlineLevel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 hidden="1" outlineLevel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hidden="1" outlineLevel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 hidden="1" outlineLevel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 hidden="1" outlineLevel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hidden="1" outlineLevel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 hidden="1" outlineLevel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 hidden="1" outlineLevel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 hidden="1" outlineLevel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</sheetData>
  <sheetProtection/>
  <mergeCells count="17">
    <mergeCell ref="L12:N12"/>
    <mergeCell ref="A3:H3"/>
    <mergeCell ref="A4:D4"/>
    <mergeCell ref="A5:C5"/>
    <mergeCell ref="A6:D6"/>
    <mergeCell ref="A7:D7"/>
    <mergeCell ref="I12:K12"/>
    <mergeCell ref="B12:B13"/>
    <mergeCell ref="A1:O1"/>
    <mergeCell ref="O12:O13"/>
    <mergeCell ref="A8:E8"/>
    <mergeCell ref="A9:E9"/>
    <mergeCell ref="A10:K10"/>
    <mergeCell ref="M10:N10"/>
    <mergeCell ref="A12:A13"/>
    <mergeCell ref="C12:E12"/>
    <mergeCell ref="F12:H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51"/>
  <sheetViews>
    <sheetView zoomScalePageLayoutView="0" workbookViewId="0" topLeftCell="A18">
      <selection activeCell="Q12" sqref="Q12:Q13"/>
    </sheetView>
  </sheetViews>
  <sheetFormatPr defaultColWidth="9.00390625" defaultRowHeight="12.75" outlineLevelRow="2" outlineLevelCol="1"/>
  <cols>
    <col min="1" max="1" width="28.625" style="0" customWidth="1"/>
    <col min="2" max="2" width="10.7539062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6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  <c r="P1" s="12"/>
    </row>
    <row r="2" spans="1:16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</row>
    <row r="3" spans="1:16" ht="12.75">
      <c r="A3" s="110" t="s">
        <v>50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  <c r="P3" s="12"/>
    </row>
    <row r="4" spans="1:16" ht="12.75" customHeight="1">
      <c r="A4" s="97" t="s">
        <v>0</v>
      </c>
      <c r="B4" s="97"/>
      <c r="C4" s="98"/>
      <c r="D4" s="99"/>
      <c r="E4" s="12"/>
      <c r="F4" s="16">
        <v>73</v>
      </c>
      <c r="G4" s="11"/>
      <c r="H4" s="11"/>
      <c r="I4" s="11"/>
      <c r="J4" s="11"/>
      <c r="K4" s="11"/>
      <c r="L4" s="11"/>
      <c r="M4" s="11"/>
      <c r="N4" s="11"/>
      <c r="O4" s="12"/>
      <c r="P4" s="12"/>
    </row>
    <row r="5" spans="1:16" ht="12.75" customHeight="1">
      <c r="A5" s="113" t="s">
        <v>20</v>
      </c>
      <c r="B5" s="113"/>
      <c r="C5" s="99"/>
      <c r="D5" s="11"/>
      <c r="E5" s="12"/>
      <c r="F5" s="16">
        <v>8404.6</v>
      </c>
      <c r="G5" s="15"/>
      <c r="H5" s="15"/>
      <c r="I5" s="15"/>
      <c r="J5" s="15"/>
      <c r="K5" s="11"/>
      <c r="L5" s="11"/>
      <c r="M5" s="11"/>
      <c r="N5" s="11"/>
      <c r="O5" s="12"/>
      <c r="P5" s="12"/>
    </row>
    <row r="6" spans="1:16" ht="12.75" customHeight="1">
      <c r="A6" s="97" t="s">
        <v>21</v>
      </c>
      <c r="B6" s="97"/>
      <c r="C6" s="98"/>
      <c r="D6" s="98"/>
      <c r="E6" s="12"/>
      <c r="F6" s="16">
        <v>1595.3</v>
      </c>
      <c r="G6" s="15"/>
      <c r="H6" s="12"/>
      <c r="I6" s="15"/>
      <c r="J6" s="15"/>
      <c r="K6" s="11"/>
      <c r="L6" s="11"/>
      <c r="M6" s="11"/>
      <c r="N6" s="11"/>
      <c r="O6" s="12"/>
      <c r="P6" s="12"/>
    </row>
    <row r="7" spans="1:16" ht="12.75">
      <c r="A7" s="97" t="s">
        <v>22</v>
      </c>
      <c r="B7" s="97"/>
      <c r="C7" s="98"/>
      <c r="D7" s="98"/>
      <c r="E7" s="12"/>
      <c r="F7" s="16">
        <f>F6+F5</f>
        <v>9999.9</v>
      </c>
      <c r="G7" s="15"/>
      <c r="H7" s="15"/>
      <c r="I7" s="15"/>
      <c r="J7" s="15"/>
      <c r="K7" s="11"/>
      <c r="L7" s="11"/>
      <c r="M7" s="11"/>
      <c r="N7" s="11"/>
      <c r="O7" s="12"/>
      <c r="P7" s="12"/>
    </row>
    <row r="8" spans="1:16" ht="12.75" customHeight="1">
      <c r="A8" s="97" t="s">
        <v>1</v>
      </c>
      <c r="B8" s="97"/>
      <c r="C8" s="98"/>
      <c r="D8" s="98"/>
      <c r="E8" s="99"/>
      <c r="F8" s="16">
        <v>180</v>
      </c>
      <c r="G8" s="15"/>
      <c r="H8" s="15"/>
      <c r="I8" s="15"/>
      <c r="J8" s="15"/>
      <c r="K8" s="11"/>
      <c r="L8" s="11"/>
      <c r="M8" s="11"/>
      <c r="N8" s="11"/>
      <c r="O8" s="12"/>
      <c r="P8" s="12"/>
    </row>
    <row r="9" spans="1:16" ht="12.75" customHeight="1">
      <c r="A9" s="100" t="s">
        <v>23</v>
      </c>
      <c r="B9" s="100"/>
      <c r="C9" s="99"/>
      <c r="D9" s="99"/>
      <c r="E9" s="99"/>
      <c r="F9" s="16">
        <v>797.5</v>
      </c>
      <c r="G9" s="15"/>
      <c r="H9" s="15"/>
      <c r="I9" s="15"/>
      <c r="J9" s="15"/>
      <c r="K9" s="11"/>
      <c r="L9" s="11"/>
      <c r="M9" s="11"/>
      <c r="N9" s="11"/>
      <c r="O9" s="12"/>
      <c r="P9" s="12"/>
    </row>
    <row r="10" spans="1:16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  <c r="P10" s="12"/>
    </row>
    <row r="11" spans="1:16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  <c r="P12" s="12"/>
    </row>
    <row r="13" spans="1:16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  <c r="P13" s="12"/>
    </row>
    <row r="14" spans="1:16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  <c r="P14" s="12"/>
    </row>
    <row r="15" spans="1:16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  <c r="P15" s="12"/>
    </row>
    <row r="16" spans="1:16" ht="12.75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  <c r="P16" s="12"/>
    </row>
    <row r="17" spans="1:16" ht="12.75" collapsed="1">
      <c r="A17" s="39" t="s">
        <v>16</v>
      </c>
      <c r="B17" s="67"/>
      <c r="C17" s="25">
        <v>12065.04</v>
      </c>
      <c r="D17" s="25">
        <v>0</v>
      </c>
      <c r="E17" s="61">
        <f>SUM(C17:D17)</f>
        <v>12065.04</v>
      </c>
      <c r="F17" s="40">
        <f>'[1]TDSheet'!$G$35+'[3]TDSheet'!$G$31</f>
        <v>66403.94</v>
      </c>
      <c r="G17" s="25"/>
      <c r="H17" s="63">
        <f aca="true" t="shared" si="3" ref="H17:H27">F17+G17</f>
        <v>66403.94</v>
      </c>
      <c r="I17" s="25">
        <f>'[2]TDSheet'!$K$26</f>
        <v>63423.04</v>
      </c>
      <c r="J17" s="26"/>
      <c r="K17" s="63">
        <f t="shared" si="0"/>
        <v>63423.04</v>
      </c>
      <c r="L17" s="25">
        <f t="shared" si="1"/>
        <v>15045.94000000001</v>
      </c>
      <c r="M17" s="25">
        <f t="shared" si="1"/>
        <v>0</v>
      </c>
      <c r="N17" s="61">
        <f t="shared" si="2"/>
        <v>15045.94000000001</v>
      </c>
      <c r="O17" s="56">
        <v>67112.34</v>
      </c>
      <c r="P17" s="12"/>
    </row>
    <row r="18" spans="1:16" ht="12.75">
      <c r="A18" s="38" t="s">
        <v>13</v>
      </c>
      <c r="B18" s="67"/>
      <c r="C18" s="25">
        <v>79527.97000000003</v>
      </c>
      <c r="D18" s="25">
        <v>0</v>
      </c>
      <c r="E18" s="61">
        <f aca="true" t="shared" si="4" ref="E18:E27">SUM(C18:D18)</f>
        <v>79527.97000000003</v>
      </c>
      <c r="F18" s="25">
        <f>'[1]TDSheet'!$J$35+'[4]TDSheet'!$G$32</f>
        <v>375446.22</v>
      </c>
      <c r="G18" s="25"/>
      <c r="H18" s="63">
        <f t="shared" si="3"/>
        <v>375446.22</v>
      </c>
      <c r="I18" s="25">
        <f>'[2]TDSheet'!$P$26</f>
        <v>362767.06</v>
      </c>
      <c r="J18" s="26"/>
      <c r="K18" s="63">
        <f t="shared" si="0"/>
        <v>362767.06</v>
      </c>
      <c r="L18" s="25">
        <f t="shared" si="1"/>
        <v>92207.13</v>
      </c>
      <c r="M18" s="25">
        <f t="shared" si="1"/>
        <v>0</v>
      </c>
      <c r="N18" s="61">
        <f t="shared" si="2"/>
        <v>92207.13</v>
      </c>
      <c r="O18" s="56">
        <v>321747.73</v>
      </c>
      <c r="P18" s="12"/>
    </row>
    <row r="19" spans="1:16" ht="12.75">
      <c r="A19" s="38" t="s">
        <v>15</v>
      </c>
      <c r="B19" s="67"/>
      <c r="C19" s="25">
        <v>11419.419999999998</v>
      </c>
      <c r="D19" s="25">
        <v>0</v>
      </c>
      <c r="E19" s="61">
        <f t="shared" si="4"/>
        <v>11419.419999999998</v>
      </c>
      <c r="F19" s="25">
        <f>'[1]TDSheet'!$E$35+'[5]TDSheet'!$G$25</f>
        <v>49321.94</v>
      </c>
      <c r="G19" s="25"/>
      <c r="H19" s="63">
        <f t="shared" si="3"/>
        <v>49321.94</v>
      </c>
      <c r="I19" s="25">
        <f>'[2]TDSheet'!$C$26</f>
        <v>47861.63</v>
      </c>
      <c r="J19" s="26"/>
      <c r="K19" s="63">
        <f t="shared" si="0"/>
        <v>47861.63</v>
      </c>
      <c r="L19" s="25">
        <f t="shared" si="1"/>
        <v>12879.730000000003</v>
      </c>
      <c r="M19" s="25">
        <f t="shared" si="1"/>
        <v>0</v>
      </c>
      <c r="N19" s="61">
        <f t="shared" si="2"/>
        <v>12879.730000000003</v>
      </c>
      <c r="O19" s="56">
        <v>82178.46</v>
      </c>
      <c r="P19" s="12"/>
    </row>
    <row r="20" spans="1:16" ht="24">
      <c r="A20" s="38" t="s">
        <v>8</v>
      </c>
      <c r="B20" s="67"/>
      <c r="C20" s="25">
        <v>404473.18000000017</v>
      </c>
      <c r="D20" s="25">
        <v>-350.929999999993</v>
      </c>
      <c r="E20" s="61">
        <f t="shared" si="4"/>
        <v>404122.2500000002</v>
      </c>
      <c r="F20" s="25">
        <f>'[1]TDSheet'!$H$35+'[6]TDSheet'!$G$35</f>
        <v>1241085.22</v>
      </c>
      <c r="G20" s="25">
        <f>'[17]начисление НЖП'!$B$31+'[17]начисление НЖП'!$K$31</f>
        <v>271059.47177369957</v>
      </c>
      <c r="H20" s="63">
        <f t="shared" si="3"/>
        <v>1512144.6917736996</v>
      </c>
      <c r="I20" s="25">
        <f>'[2]TDSheet'!$D$26+'[2]TDSheet'!$E$26+'[2]TDSheet'!$L$26+'[2]TDSheet'!$N$26</f>
        <v>1229921.3099999998</v>
      </c>
      <c r="J20" s="26">
        <f>'[17]начисление НЖП'!$C$31+'[17]начисление НЖП'!$L$31</f>
        <v>248041.65593843994</v>
      </c>
      <c r="K20" s="63">
        <f t="shared" si="0"/>
        <v>1477962.9659384398</v>
      </c>
      <c r="L20" s="25">
        <f t="shared" si="1"/>
        <v>415637.0900000003</v>
      </c>
      <c r="M20" s="25">
        <f t="shared" si="1"/>
        <v>22666.88583525963</v>
      </c>
      <c r="N20" s="61">
        <f t="shared" si="2"/>
        <v>438303.97583525995</v>
      </c>
      <c r="O20" s="56">
        <f>1937777.08-O14-O15-O16-O17-O18-O19-O21-O22-O23-O24-O25-O26-O27</f>
        <v>1461850.48</v>
      </c>
      <c r="P20" s="12"/>
    </row>
    <row r="21" spans="1:16" ht="12.75">
      <c r="A21" s="38" t="s">
        <v>10</v>
      </c>
      <c r="B21" s="67"/>
      <c r="C21" s="25">
        <v>6808.37</v>
      </c>
      <c r="D21" s="25">
        <v>0</v>
      </c>
      <c r="E21" s="61">
        <f t="shared" si="4"/>
        <v>6808.37</v>
      </c>
      <c r="F21" s="25"/>
      <c r="G21" s="25"/>
      <c r="H21" s="63">
        <f t="shared" si="3"/>
        <v>0</v>
      </c>
      <c r="I21" s="25">
        <f>'[2]TDSheet'!$Q$26</f>
        <v>0</v>
      </c>
      <c r="J21" s="26"/>
      <c r="K21" s="63">
        <f t="shared" si="0"/>
        <v>0</v>
      </c>
      <c r="L21" s="25">
        <f t="shared" si="1"/>
        <v>6808.37</v>
      </c>
      <c r="M21" s="25">
        <f t="shared" si="1"/>
        <v>0</v>
      </c>
      <c r="N21" s="61">
        <f t="shared" si="2"/>
        <v>6808.37</v>
      </c>
      <c r="O21" s="56">
        <v>196.12</v>
      </c>
      <c r="P21" s="12"/>
    </row>
    <row r="22" spans="1:16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  <c r="P22" s="12"/>
    </row>
    <row r="23" spans="1:16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  <c r="P23" s="12"/>
    </row>
    <row r="24" spans="1:16" ht="12.75" collapsed="1">
      <c r="A24" s="38" t="s">
        <v>25</v>
      </c>
      <c r="B24" s="67"/>
      <c r="C24" s="25">
        <v>1956.7600000000002</v>
      </c>
      <c r="D24" s="25">
        <v>0</v>
      </c>
      <c r="E24" s="61">
        <f t="shared" si="4"/>
        <v>1956.7600000000002</v>
      </c>
      <c r="F24" s="25">
        <f>'[1]TDSheet'!$L$35+'[7]TDSheet'!$G$33</f>
        <v>21138.14</v>
      </c>
      <c r="G24" s="25"/>
      <c r="H24" s="63">
        <f t="shared" si="3"/>
        <v>21138.14</v>
      </c>
      <c r="I24" s="25">
        <f>'[2]TDSheet'!$S$26</f>
        <v>19886.29</v>
      </c>
      <c r="J24" s="26"/>
      <c r="K24" s="63">
        <f t="shared" si="0"/>
        <v>19886.29</v>
      </c>
      <c r="L24" s="25">
        <f t="shared" si="1"/>
        <v>3208.6100000000006</v>
      </c>
      <c r="M24" s="25">
        <f t="shared" si="1"/>
        <v>0</v>
      </c>
      <c r="N24" s="61">
        <f t="shared" si="2"/>
        <v>3208.6100000000006</v>
      </c>
      <c r="O24" s="56">
        <v>1261.73</v>
      </c>
      <c r="P24" s="12"/>
    </row>
    <row r="25" spans="1:16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'[1]TDSheet'!$F$35</f>
        <v>3430.22</v>
      </c>
      <c r="G25" s="25"/>
      <c r="H25" s="63">
        <f t="shared" si="3"/>
        <v>3430.22</v>
      </c>
      <c r="I25" s="25">
        <f>'[2]TDSheet'!$I$26</f>
        <v>2665.63</v>
      </c>
      <c r="J25" s="26"/>
      <c r="K25" s="63">
        <f t="shared" si="0"/>
        <v>2665.63</v>
      </c>
      <c r="L25" s="25">
        <f t="shared" si="1"/>
        <v>764.5899999999997</v>
      </c>
      <c r="M25" s="25">
        <f t="shared" si="1"/>
        <v>0</v>
      </c>
      <c r="N25" s="61">
        <f t="shared" si="2"/>
        <v>764.5899999999997</v>
      </c>
      <c r="O25" s="56">
        <v>3430.22</v>
      </c>
      <c r="P25" s="12"/>
    </row>
    <row r="26" spans="1:16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  <c r="P26" s="12"/>
    </row>
    <row r="27" spans="1:16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  <c r="P27" s="12"/>
    </row>
    <row r="28" spans="1:16" ht="12.75" collapsed="1">
      <c r="A28" s="41" t="s">
        <v>12</v>
      </c>
      <c r="B28" s="68"/>
      <c r="C28" s="42">
        <f>SUM(C14:C27)</f>
        <v>516250.7400000002</v>
      </c>
      <c r="D28" s="42">
        <f>SUM(D14:D27)</f>
        <v>-350.929999999993</v>
      </c>
      <c r="E28" s="62">
        <f>SUM(C28:D28)</f>
        <v>515899.81000000023</v>
      </c>
      <c r="F28" s="43">
        <f>SUM(F14:F27)</f>
        <v>1756825.6799999997</v>
      </c>
      <c r="G28" s="42">
        <f>SUM(G14:G27)</f>
        <v>271059.47177369957</v>
      </c>
      <c r="H28" s="64">
        <f>F28+G28</f>
        <v>2027885.1517736993</v>
      </c>
      <c r="I28" s="43">
        <f>SUM(I14:I27)</f>
        <v>1726524.9599999997</v>
      </c>
      <c r="J28" s="45">
        <f>SUM(J14:J27)</f>
        <v>248041.65593843994</v>
      </c>
      <c r="K28" s="64">
        <f>I28+J28</f>
        <v>1974566.6159384397</v>
      </c>
      <c r="L28" s="46">
        <f>SUM(L14:L27)</f>
        <v>546551.4600000003</v>
      </c>
      <c r="M28" s="44">
        <f>SUM(M14:M27)</f>
        <v>22666.88583525963</v>
      </c>
      <c r="N28" s="62">
        <f>L28+M28</f>
        <v>569218.3458352599</v>
      </c>
      <c r="O28" s="57">
        <f>SUM(O14:O27)</f>
        <v>1937777.08</v>
      </c>
      <c r="P28" s="12"/>
    </row>
    <row r="29" spans="1:16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  <c r="P29" s="12"/>
    </row>
    <row r="30" spans="1:16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  <c r="P30" s="12"/>
    </row>
    <row r="31" spans="1:16" s="23" customFormat="1" ht="12.75">
      <c r="A31" s="54" t="s">
        <v>34</v>
      </c>
      <c r="B31" s="50"/>
      <c r="C31" s="50"/>
      <c r="D31" s="50"/>
      <c r="E31" s="50"/>
      <c r="F31" s="55">
        <f>SUM(F32:F40)</f>
        <v>326068.45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2.75">
      <c r="A32" s="52" t="s">
        <v>39</v>
      </c>
      <c r="B32" s="52"/>
      <c r="C32" s="12"/>
      <c r="D32" s="12"/>
      <c r="E32" s="12"/>
      <c r="F32" s="53">
        <v>1544.34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52" t="s">
        <v>35</v>
      </c>
      <c r="B33" s="52"/>
      <c r="C33" s="12"/>
      <c r="D33" s="12"/>
      <c r="E33" s="12"/>
      <c r="F33" s="53">
        <v>321080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52" t="s">
        <v>36</v>
      </c>
      <c r="B34" s="5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52" t="s">
        <v>43</v>
      </c>
      <c r="B35" s="52"/>
      <c r="C35" s="12"/>
      <c r="D35" s="12"/>
      <c r="E35" s="12"/>
      <c r="F35" s="53">
        <v>938.3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52" t="s">
        <v>37</v>
      </c>
      <c r="B36" s="52"/>
      <c r="C36" s="12"/>
      <c r="D36" s="12"/>
      <c r="E36" s="12"/>
      <c r="F36" s="53">
        <v>907.79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52" t="s">
        <v>42</v>
      </c>
      <c r="B37" s="52"/>
      <c r="C37" s="12"/>
      <c r="D37" s="12"/>
      <c r="E37" s="12"/>
      <c r="F37" s="53">
        <v>1503.52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52" t="s">
        <v>40</v>
      </c>
      <c r="B39" s="52"/>
      <c r="C39" s="12"/>
      <c r="D39" s="12"/>
      <c r="E39" s="12"/>
      <c r="F39" s="53">
        <v>94.5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1">
      <selection activeCell="N17" sqref="N17"/>
    </sheetView>
  </sheetViews>
  <sheetFormatPr defaultColWidth="9.00390625" defaultRowHeight="12.75" outlineLevelRow="1" outlineLevelCol="1"/>
  <cols>
    <col min="1" max="1" width="35.625" style="0" customWidth="1"/>
    <col min="2" max="2" width="11.00390625" style="0" hidden="1" customWidth="1" outlineLevel="1"/>
    <col min="3" max="3" width="9.125" style="0" customWidth="1" collapsed="1"/>
    <col min="6" max="6" width="10.125" style="0" bestFit="1" customWidth="1"/>
    <col min="9" max="9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0" t="s">
        <v>51</v>
      </c>
      <c r="B3" s="110"/>
      <c r="C3" s="111"/>
      <c r="D3" s="111"/>
      <c r="E3" s="111"/>
      <c r="F3" s="112"/>
      <c r="G3" s="112"/>
      <c r="H3" s="112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12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2297.4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463.2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2760.6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24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289.3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12.75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994.4599999999991</v>
      </c>
      <c r="D17" s="25">
        <v>0</v>
      </c>
      <c r="E17" s="61">
        <f>SUM(C17:D17)</f>
        <v>994.4599999999991</v>
      </c>
      <c r="F17" s="40">
        <f>'[1]TDSheet'!$G$37</f>
        <v>15641.54</v>
      </c>
      <c r="G17" s="25"/>
      <c r="H17" s="63">
        <f aca="true" t="shared" si="3" ref="H17:H27">F17+G17</f>
        <v>15641.54</v>
      </c>
      <c r="I17" s="25">
        <f>'[2]TDSheet'!$K$14</f>
        <v>15597.4</v>
      </c>
      <c r="J17" s="26"/>
      <c r="K17" s="63">
        <f t="shared" si="0"/>
        <v>15597.4</v>
      </c>
      <c r="L17" s="25">
        <f t="shared" si="1"/>
        <v>1038.6000000000004</v>
      </c>
      <c r="M17" s="25">
        <f t="shared" si="1"/>
        <v>0</v>
      </c>
      <c r="N17" s="61">
        <f t="shared" si="2"/>
        <v>1038.6000000000004</v>
      </c>
      <c r="O17" s="56">
        <v>15601.25</v>
      </c>
    </row>
    <row r="18" spans="1:15" ht="12.75" customHeight="1" hidden="1" outlineLevel="1">
      <c r="A18" s="38" t="s">
        <v>13</v>
      </c>
      <c r="B18" s="67"/>
      <c r="C18" s="25">
        <v>0</v>
      </c>
      <c r="D18" s="25">
        <v>0</v>
      </c>
      <c r="E18" s="61">
        <f aca="true" t="shared" si="4" ref="E18:E27">SUM(C18:D18)</f>
        <v>0</v>
      </c>
      <c r="F18" s="25"/>
      <c r="G18" s="25"/>
      <c r="H18" s="63">
        <f t="shared" si="3"/>
        <v>0</v>
      </c>
      <c r="I18" s="25"/>
      <c r="J18" s="26"/>
      <c r="K18" s="63">
        <f t="shared" si="0"/>
        <v>0</v>
      </c>
      <c r="L18" s="25">
        <f t="shared" si="1"/>
        <v>0</v>
      </c>
      <c r="M18" s="25">
        <f t="shared" si="1"/>
        <v>0</v>
      </c>
      <c r="N18" s="61">
        <f t="shared" si="2"/>
        <v>0</v>
      </c>
      <c r="O18" s="56"/>
    </row>
    <row r="19" spans="1:15" ht="12.75" customHeight="1" hidden="1" outlineLevel="1">
      <c r="A19" s="38" t="s">
        <v>15</v>
      </c>
      <c r="B19" s="67"/>
      <c r="C19" s="25">
        <v>0</v>
      </c>
      <c r="D19" s="25">
        <v>0</v>
      </c>
      <c r="E19" s="61">
        <f t="shared" si="4"/>
        <v>0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0</v>
      </c>
      <c r="M19" s="25">
        <f t="shared" si="1"/>
        <v>0</v>
      </c>
      <c r="N19" s="61">
        <f t="shared" si="2"/>
        <v>0</v>
      </c>
      <c r="O19" s="56"/>
    </row>
    <row r="20" spans="1:15" ht="12.75" collapsed="1">
      <c r="A20" s="38" t="s">
        <v>8</v>
      </c>
      <c r="B20" s="67"/>
      <c r="C20" s="25">
        <v>36336.149999999965</v>
      </c>
      <c r="D20" s="25">
        <v>5924.509999999995</v>
      </c>
      <c r="E20" s="61">
        <f t="shared" si="4"/>
        <v>42260.65999999996</v>
      </c>
      <c r="F20" s="25">
        <f>'[1]TDSheet'!$H$37</f>
        <v>339923.4</v>
      </c>
      <c r="G20" s="25">
        <f>'[17]начисление НЖП'!$B$33+'[17]начисление НЖП'!$K$33</f>
        <v>78385.77023554985</v>
      </c>
      <c r="H20" s="63">
        <f t="shared" si="3"/>
        <v>418309.17023554986</v>
      </c>
      <c r="I20" s="25">
        <f>'[2]TDSheet'!$N$14</f>
        <v>352579.2</v>
      </c>
      <c r="J20" s="26">
        <f>'[17]начисление НЖП'!$C$33+'[17]начисление НЖП'!$L$33</f>
        <v>77756.64643883012</v>
      </c>
      <c r="K20" s="63">
        <f t="shared" si="0"/>
        <v>430335.84643883014</v>
      </c>
      <c r="L20" s="25">
        <f t="shared" si="1"/>
        <v>23680.349999999977</v>
      </c>
      <c r="M20" s="25">
        <f t="shared" si="1"/>
        <v>6553.633796719718</v>
      </c>
      <c r="N20" s="61">
        <f t="shared" si="2"/>
        <v>30233.983796719695</v>
      </c>
      <c r="O20" s="56">
        <f>824007.22-O14-O15-O16-O17-O18-O19-O21-O22-O23-O24-O25-O26-O27</f>
        <v>383143.72</v>
      </c>
    </row>
    <row r="21" spans="1:15" ht="12.75">
      <c r="A21" s="38" t="s">
        <v>10</v>
      </c>
      <c r="B21" s="67"/>
      <c r="C21" s="25">
        <v>-700</v>
      </c>
      <c r="D21" s="25">
        <v>0</v>
      </c>
      <c r="E21" s="61">
        <f t="shared" si="4"/>
        <v>-700</v>
      </c>
      <c r="F21" s="25"/>
      <c r="G21" s="25"/>
      <c r="H21" s="63">
        <f t="shared" si="3"/>
        <v>0</v>
      </c>
      <c r="I21" s="25"/>
      <c r="J21" s="26"/>
      <c r="K21" s="63">
        <f t="shared" si="0"/>
        <v>0</v>
      </c>
      <c r="L21" s="25">
        <f t="shared" si="1"/>
        <v>-700</v>
      </c>
      <c r="M21" s="25">
        <f t="shared" si="1"/>
        <v>0</v>
      </c>
      <c r="N21" s="61">
        <f t="shared" si="2"/>
        <v>-700</v>
      </c>
      <c r="O21" s="56">
        <v>54.14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12.75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291.5500000000002</v>
      </c>
      <c r="D24" s="25">
        <v>0</v>
      </c>
      <c r="E24" s="61">
        <f t="shared" si="4"/>
        <v>291.5500000000002</v>
      </c>
      <c r="F24" s="25">
        <f>'[1]TDSheet'!$L$37</f>
        <v>5789.52</v>
      </c>
      <c r="G24" s="25"/>
      <c r="H24" s="63">
        <f t="shared" si="3"/>
        <v>5789.52</v>
      </c>
      <c r="I24" s="25">
        <f>'[2]TDSheet'!$S$14</f>
        <v>5706.34</v>
      </c>
      <c r="J24" s="26"/>
      <c r="K24" s="63">
        <f t="shared" si="0"/>
        <v>5706.34</v>
      </c>
      <c r="L24" s="25">
        <f t="shared" si="1"/>
        <v>374.7300000000005</v>
      </c>
      <c r="M24" s="25">
        <f t="shared" si="1"/>
        <v>0</v>
      </c>
      <c r="N24" s="61">
        <f t="shared" si="2"/>
        <v>374.7300000000005</v>
      </c>
      <c r="O24" s="56"/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/>
      <c r="G25" s="25"/>
      <c r="H25" s="63">
        <f t="shared" si="3"/>
        <v>0</v>
      </c>
      <c r="I25" s="25"/>
      <c r="J25" s="26"/>
      <c r="K25" s="63">
        <f t="shared" si="0"/>
        <v>0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/>
    </row>
    <row r="26" spans="1:15" ht="12.75">
      <c r="A26" s="38" t="s">
        <v>27</v>
      </c>
      <c r="B26" s="67"/>
      <c r="C26" s="25">
        <v>5842.570000000007</v>
      </c>
      <c r="D26" s="25">
        <v>0</v>
      </c>
      <c r="E26" s="61">
        <f t="shared" si="4"/>
        <v>5842.570000000007</v>
      </c>
      <c r="F26" s="25">
        <f>'[1]TDSheet'!$K$37</f>
        <v>100800</v>
      </c>
      <c r="G26" s="25"/>
      <c r="H26" s="63">
        <f t="shared" si="3"/>
        <v>100800</v>
      </c>
      <c r="I26" s="25">
        <f>'[2]TDSheet'!$R$14</f>
        <v>99642.57</v>
      </c>
      <c r="J26" s="26"/>
      <c r="K26" s="63">
        <f t="shared" si="0"/>
        <v>99642.57</v>
      </c>
      <c r="L26" s="25">
        <f t="shared" si="1"/>
        <v>7000</v>
      </c>
      <c r="M26" s="25">
        <f t="shared" si="1"/>
        <v>0</v>
      </c>
      <c r="N26" s="61">
        <f t="shared" si="2"/>
        <v>7000</v>
      </c>
      <c r="O26" s="56">
        <v>425208.11</v>
      </c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42764.729999999974</v>
      </c>
      <c r="D28" s="42">
        <f>SUM(D14:D27)</f>
        <v>5924.509999999995</v>
      </c>
      <c r="E28" s="62">
        <f>SUM(C28:D28)</f>
        <v>48689.23999999997</v>
      </c>
      <c r="F28" s="43">
        <f>SUM(F14:F27)</f>
        <v>462154.46</v>
      </c>
      <c r="G28" s="42">
        <f>SUM(G14:G27)</f>
        <v>78385.77023554985</v>
      </c>
      <c r="H28" s="64">
        <f>F28+G28</f>
        <v>540540.2302355499</v>
      </c>
      <c r="I28" s="43">
        <f>SUM(I14:I27)</f>
        <v>473525.51000000007</v>
      </c>
      <c r="J28" s="45">
        <f>SUM(J14:J27)</f>
        <v>77756.64643883012</v>
      </c>
      <c r="K28" s="64">
        <f>I28+J28</f>
        <v>551282.1564388302</v>
      </c>
      <c r="L28" s="46">
        <f>SUM(L14:L27)</f>
        <v>31393.679999999975</v>
      </c>
      <c r="M28" s="44">
        <f>SUM(M14:M27)</f>
        <v>6553.633796719718</v>
      </c>
      <c r="N28" s="62">
        <f>L28+M28</f>
        <v>37947.313796719696</v>
      </c>
      <c r="O28" s="57">
        <f>SUM(O14:O27)</f>
        <v>824007.22</v>
      </c>
    </row>
    <row r="29" spans="1:15" ht="12.75">
      <c r="A29" s="12"/>
      <c r="B29" s="12"/>
      <c r="C29" s="47"/>
      <c r="D29" s="12"/>
      <c r="E29" s="12"/>
      <c r="F29" s="47"/>
      <c r="G29" s="12"/>
      <c r="H29" s="27"/>
      <c r="I29" s="47"/>
      <c r="J29" s="12"/>
      <c r="K29" s="27"/>
      <c r="L29" s="47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6775.54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52"/>
      <c r="C32" s="12"/>
      <c r="D32" s="12"/>
      <c r="E32" s="12"/>
      <c r="F32" s="53">
        <v>8.29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52"/>
      <c r="C33" s="12"/>
      <c r="D33" s="12"/>
      <c r="E33" s="12"/>
      <c r="F33" s="53">
        <v>0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52"/>
      <c r="C34" s="12"/>
      <c r="D34" s="12"/>
      <c r="E34" s="12"/>
      <c r="F34" s="53">
        <v>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52"/>
      <c r="C35" s="12"/>
      <c r="D35" s="12"/>
      <c r="E35" s="12"/>
      <c r="F35" s="53">
        <v>15.54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52"/>
      <c r="C36" s="12"/>
      <c r="D36" s="12"/>
      <c r="E36" s="12"/>
      <c r="F36" s="53">
        <v>6751.22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52"/>
      <c r="C37" s="12"/>
      <c r="D37" s="12"/>
      <c r="E37" s="12"/>
      <c r="F37" s="53">
        <v>0.49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5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52"/>
      <c r="C39" s="12"/>
      <c r="D39" s="12"/>
      <c r="E39" s="12"/>
      <c r="F39" s="53">
        <v>0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5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O12:O13"/>
    <mergeCell ref="A8:E8"/>
    <mergeCell ref="A9:E9"/>
    <mergeCell ref="A10:K10"/>
    <mergeCell ref="M10:N10"/>
    <mergeCell ref="A12:A13"/>
    <mergeCell ref="C12:E12"/>
    <mergeCell ref="F12:H12"/>
    <mergeCell ref="I12:K12"/>
    <mergeCell ref="L12:N12"/>
    <mergeCell ref="A1:L1"/>
    <mergeCell ref="A3:H3"/>
    <mergeCell ref="A4:D4"/>
    <mergeCell ref="A5:C5"/>
    <mergeCell ref="A6:D6"/>
    <mergeCell ref="A7:D7"/>
    <mergeCell ref="B12:B13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8"/>
  <sheetViews>
    <sheetView zoomScalePageLayoutView="0" workbookViewId="0" topLeftCell="A20">
      <selection activeCell="R13" sqref="R13"/>
    </sheetView>
  </sheetViews>
  <sheetFormatPr defaultColWidth="9.00390625" defaultRowHeight="12.75" outlineLevelRow="2" outlineLevelCol="1"/>
  <cols>
    <col min="1" max="1" width="29.375" style="0" customWidth="1"/>
    <col min="2" max="2" width="10.37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82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187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14514.1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1144.7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15658.800000000001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369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1410.2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12.75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32320.850000000006</v>
      </c>
      <c r="D17" s="25">
        <v>0</v>
      </c>
      <c r="E17" s="61">
        <f>SUM(C17:D17)</f>
        <v>32320.850000000006</v>
      </c>
      <c r="F17" s="40">
        <f>'[1]TDSheet'!$G$23+'[3]TDSheet'!$G$19</f>
        <v>125103.15000000001</v>
      </c>
      <c r="G17" s="25"/>
      <c r="H17" s="63">
        <f aca="true" t="shared" si="3" ref="H17:H27">F17+G17</f>
        <v>125103.15000000001</v>
      </c>
      <c r="I17" s="25">
        <f>'[2]TDSheet'!$K$24</f>
        <v>124810.86</v>
      </c>
      <c r="J17" s="26"/>
      <c r="K17" s="63">
        <f t="shared" si="0"/>
        <v>124810.86</v>
      </c>
      <c r="L17" s="25">
        <f t="shared" si="1"/>
        <v>32613.14</v>
      </c>
      <c r="M17" s="25">
        <f t="shared" si="1"/>
        <v>0</v>
      </c>
      <c r="N17" s="61">
        <f t="shared" si="2"/>
        <v>32613.14</v>
      </c>
      <c r="O17" s="56">
        <v>125761.75</v>
      </c>
    </row>
    <row r="18" spans="1:15" ht="12.75">
      <c r="A18" s="38" t="s">
        <v>13</v>
      </c>
      <c r="B18" s="67"/>
      <c r="C18" s="25">
        <v>130111.26000000001</v>
      </c>
      <c r="D18" s="25">
        <v>0</v>
      </c>
      <c r="E18" s="61">
        <f aca="true" t="shared" si="4" ref="E18:E27">SUM(C18:D18)</f>
        <v>130111.26000000001</v>
      </c>
      <c r="F18" s="25">
        <f>'[1]TDSheet'!$J$23+'[4]TDSheet'!$G$21</f>
        <v>646586.52</v>
      </c>
      <c r="G18" s="25"/>
      <c r="H18" s="63">
        <f t="shared" si="3"/>
        <v>646586.52</v>
      </c>
      <c r="I18" s="25">
        <f>'[2]TDSheet'!$P$24</f>
        <v>634867.19</v>
      </c>
      <c r="J18" s="26"/>
      <c r="K18" s="63">
        <f t="shared" si="0"/>
        <v>634867.19</v>
      </c>
      <c r="L18" s="25">
        <f t="shared" si="1"/>
        <v>141830.59000000008</v>
      </c>
      <c r="M18" s="25">
        <f t="shared" si="1"/>
        <v>0</v>
      </c>
      <c r="N18" s="61">
        <f t="shared" si="2"/>
        <v>141830.59000000008</v>
      </c>
      <c r="O18" s="56">
        <v>560150.64</v>
      </c>
    </row>
    <row r="19" spans="1:15" ht="12.75" outlineLevel="1">
      <c r="A19" s="38" t="s">
        <v>15</v>
      </c>
      <c r="B19" s="67"/>
      <c r="C19" s="25">
        <v>-799.58</v>
      </c>
      <c r="D19" s="25">
        <v>0</v>
      </c>
      <c r="E19" s="61">
        <f t="shared" si="4"/>
        <v>-799.58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-799.58</v>
      </c>
      <c r="M19" s="25">
        <f t="shared" si="1"/>
        <v>0</v>
      </c>
      <c r="N19" s="61">
        <f t="shared" si="2"/>
        <v>-799.58</v>
      </c>
      <c r="O19" s="56"/>
    </row>
    <row r="20" spans="1:15" ht="24">
      <c r="A20" s="38" t="s">
        <v>8</v>
      </c>
      <c r="B20" s="67"/>
      <c r="C20" s="25">
        <v>466296.80000000005</v>
      </c>
      <c r="D20" s="25">
        <v>16421.579999999987</v>
      </c>
      <c r="E20" s="61">
        <f t="shared" si="4"/>
        <v>482718.38</v>
      </c>
      <c r="F20" s="25">
        <f>'[1]TDSheet'!$H$23+'[6]TDSheet'!$G$23</f>
        <v>2145054.85</v>
      </c>
      <c r="G20" s="25">
        <f>'[17]начисление НЖП'!$B$19+'[17]начисление НЖП'!$K$19</f>
        <v>222630.6083910846</v>
      </c>
      <c r="H20" s="63">
        <f t="shared" si="3"/>
        <v>2367685.458391085</v>
      </c>
      <c r="I20" s="25">
        <f>'[2]TDSheet'!$D$24+'[2]TDSheet'!$E$24+'[2]TDSheet'!$L$24+'[2]TDSheet'!$N$24</f>
        <v>2073508.05</v>
      </c>
      <c r="J20" s="26">
        <f>'[17]начисление НЖП'!$C$19+'[17]начисление НЖП'!$L$19</f>
        <v>216670.04397752415</v>
      </c>
      <c r="K20" s="63">
        <f t="shared" si="0"/>
        <v>2290178.093977524</v>
      </c>
      <c r="L20" s="25">
        <f t="shared" si="1"/>
        <v>537843.6000000003</v>
      </c>
      <c r="M20" s="25">
        <f t="shared" si="1"/>
        <v>22382.144413560425</v>
      </c>
      <c r="N20" s="61">
        <f t="shared" si="2"/>
        <v>560225.7444135607</v>
      </c>
      <c r="O20" s="56">
        <f>2577682.12-O14-O15-O16-O17-O18-O19-O21-O22-O23-O24-O25-O26-O27</f>
        <v>1751464.58</v>
      </c>
    </row>
    <row r="21" spans="1:15" ht="12.75">
      <c r="A21" s="38" t="s">
        <v>10</v>
      </c>
      <c r="B21" s="67"/>
      <c r="C21" s="25">
        <v>351.45000000000005</v>
      </c>
      <c r="D21" s="25">
        <v>20573.51000000001</v>
      </c>
      <c r="E21" s="61">
        <f t="shared" si="4"/>
        <v>20924.96000000001</v>
      </c>
      <c r="F21" s="25"/>
      <c r="G21" s="25">
        <f>'[17]коммунНЖП'!$E$151</f>
        <v>137874.31</v>
      </c>
      <c r="H21" s="63">
        <f t="shared" si="3"/>
        <v>137874.31</v>
      </c>
      <c r="I21" s="25">
        <f>'[2]TDSheet'!$Q$24</f>
        <v>4434.26</v>
      </c>
      <c r="J21" s="26">
        <f>'[17]коммунНЖП'!$F$151</f>
        <v>156730.44</v>
      </c>
      <c r="K21" s="63">
        <f t="shared" si="0"/>
        <v>161164.7</v>
      </c>
      <c r="L21" s="25">
        <f t="shared" si="1"/>
        <v>-4082.8100000000004</v>
      </c>
      <c r="M21" s="25">
        <f t="shared" si="1"/>
        <v>1717.3800000000047</v>
      </c>
      <c r="N21" s="61">
        <f t="shared" si="2"/>
        <v>-2365.4299999999957</v>
      </c>
      <c r="O21" s="56">
        <v>131133.9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4092.8899999999994</v>
      </c>
      <c r="D24" s="25">
        <v>0</v>
      </c>
      <c r="E24" s="61">
        <f t="shared" si="4"/>
        <v>4092.8899999999994</v>
      </c>
      <c r="F24" s="25">
        <f>'[1]TDSheet'!$L$23+'[7]TDSheet'!$G$21</f>
        <v>36568.08</v>
      </c>
      <c r="G24" s="25"/>
      <c r="H24" s="63">
        <f t="shared" si="3"/>
        <v>36568.08</v>
      </c>
      <c r="I24" s="25">
        <f>'[2]TDSheet'!$S$24</f>
        <v>34465.43</v>
      </c>
      <c r="J24" s="26"/>
      <c r="K24" s="63">
        <f t="shared" si="0"/>
        <v>34465.43</v>
      </c>
      <c r="L24" s="25">
        <f t="shared" si="1"/>
        <v>6195.540000000001</v>
      </c>
      <c r="M24" s="25">
        <f t="shared" si="1"/>
        <v>0</v>
      </c>
      <c r="N24" s="61">
        <f t="shared" si="2"/>
        <v>6195.540000000001</v>
      </c>
      <c r="O24" s="56"/>
    </row>
    <row r="25" spans="1:15" ht="12.75">
      <c r="A25" s="38" t="s">
        <v>18</v>
      </c>
      <c r="B25" s="67"/>
      <c r="C25" s="25">
        <v>5881.579999999999</v>
      </c>
      <c r="D25" s="25">
        <v>0</v>
      </c>
      <c r="E25" s="61">
        <f t="shared" si="4"/>
        <v>5881.579999999999</v>
      </c>
      <c r="F25" s="25">
        <f>'[1]TDSheet'!$F$23</f>
        <v>9171.25</v>
      </c>
      <c r="G25" s="25"/>
      <c r="H25" s="63">
        <f t="shared" si="3"/>
        <v>9171.25</v>
      </c>
      <c r="I25" s="25">
        <f>'[2]TDSheet'!$I$24</f>
        <v>6181.92</v>
      </c>
      <c r="J25" s="26"/>
      <c r="K25" s="63">
        <f t="shared" si="0"/>
        <v>6181.92</v>
      </c>
      <c r="L25" s="25">
        <f t="shared" si="1"/>
        <v>8870.909999999998</v>
      </c>
      <c r="M25" s="25">
        <f t="shared" si="1"/>
        <v>0</v>
      </c>
      <c r="N25" s="61">
        <f t="shared" si="2"/>
        <v>8870.909999999998</v>
      </c>
      <c r="O25" s="56">
        <v>9171.25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638255.25</v>
      </c>
      <c r="D28" s="42">
        <f>SUM(D14:D27)</f>
        <v>36995.09</v>
      </c>
      <c r="E28" s="62">
        <f>SUM(C28:D28)</f>
        <v>675250.34</v>
      </c>
      <c r="F28" s="43">
        <f>SUM(F14:F27)</f>
        <v>2962483.85</v>
      </c>
      <c r="G28" s="42">
        <f>SUM(G14:G27)</f>
        <v>360504.9183910846</v>
      </c>
      <c r="H28" s="64">
        <f>F28+G28</f>
        <v>3322988.768391085</v>
      </c>
      <c r="I28" s="43">
        <f>SUM(I14:I27)</f>
        <v>2878267.71</v>
      </c>
      <c r="J28" s="45">
        <f>SUM(J14:J27)</f>
        <v>373400.48397752416</v>
      </c>
      <c r="K28" s="64">
        <f>I28+J28</f>
        <v>3251668.193977524</v>
      </c>
      <c r="L28" s="46">
        <f>SUM(L14:L27)</f>
        <v>722471.3900000005</v>
      </c>
      <c r="M28" s="44">
        <f>SUM(M14:M27)</f>
        <v>24099.52441356043</v>
      </c>
      <c r="N28" s="62">
        <f>L28+M28</f>
        <v>746570.9144135609</v>
      </c>
      <c r="O28" s="57">
        <f>SUM(O14:O27)</f>
        <v>2577682.12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 collapsed="1">
      <c r="A31" s="54" t="s">
        <v>34</v>
      </c>
      <c r="B31" s="50"/>
      <c r="C31" s="50"/>
      <c r="D31" s="50"/>
      <c r="E31" s="50"/>
      <c r="F31" s="55">
        <f>SUM(F32:F40)</f>
        <v>6291.959999999999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1325.3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1294.86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881.64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88.15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2666.85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2.75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32.41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</sheetData>
  <sheetProtection/>
  <mergeCells count="17">
    <mergeCell ref="A8:E8"/>
    <mergeCell ref="A9:E9"/>
    <mergeCell ref="A10:K10"/>
    <mergeCell ref="M10:N10"/>
    <mergeCell ref="A1:L1"/>
    <mergeCell ref="A3:H3"/>
    <mergeCell ref="A4:D4"/>
    <mergeCell ref="A5:C5"/>
    <mergeCell ref="A6:D6"/>
    <mergeCell ref="A7:D7"/>
    <mergeCell ref="O12:O13"/>
    <mergeCell ref="A12:A13"/>
    <mergeCell ref="C12:E12"/>
    <mergeCell ref="F12:H12"/>
    <mergeCell ref="I12:K12"/>
    <mergeCell ref="L12:N12"/>
    <mergeCell ref="B12:B13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zoomScalePageLayoutView="0" workbookViewId="0" topLeftCell="A11">
      <selection activeCell="R12" sqref="R12"/>
    </sheetView>
  </sheetViews>
  <sheetFormatPr defaultColWidth="9.00390625" defaultRowHeight="12.75" outlineLevelRow="1" outlineLevelCol="1"/>
  <cols>
    <col min="1" max="1" width="15.25390625" style="0" customWidth="1"/>
    <col min="2" max="2" width="13.625" style="0" hidden="1" customWidth="1" outlineLevel="1"/>
    <col min="3" max="3" width="10.125" style="0" bestFit="1" customWidth="1" collapsed="1"/>
    <col min="4" max="4" width="10.375" style="0" customWidth="1"/>
    <col min="6" max="6" width="11.75390625" style="0" bestFit="1" customWidth="1"/>
    <col min="9" max="9" width="12.00390625" style="0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81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90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7002.7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>
        <v>833.1</v>
      </c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7835.8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160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1516.8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73"/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8489.210000000006</v>
      </c>
      <c r="D17" s="25">
        <v>0</v>
      </c>
      <c r="E17" s="61">
        <f>SUM(C17:D17)</f>
        <v>8489.210000000006</v>
      </c>
      <c r="F17" s="40">
        <f>'[1]TDSheet'!$G$28</f>
        <v>55350.67</v>
      </c>
      <c r="G17" s="25"/>
      <c r="H17" s="63">
        <f aca="true" t="shared" si="3" ref="H17:H27">F17+G17</f>
        <v>55350.67</v>
      </c>
      <c r="I17" s="25">
        <f>'[2]TDSheet'!$K$28</f>
        <v>54834.34</v>
      </c>
      <c r="J17" s="26"/>
      <c r="K17" s="63">
        <f t="shared" si="0"/>
        <v>54834.34</v>
      </c>
      <c r="L17" s="25">
        <f t="shared" si="1"/>
        <v>9005.540000000008</v>
      </c>
      <c r="M17" s="25">
        <f t="shared" si="1"/>
        <v>0</v>
      </c>
      <c r="N17" s="61">
        <f t="shared" si="2"/>
        <v>9005.540000000008</v>
      </c>
      <c r="O17" s="56">
        <v>55745.89</v>
      </c>
    </row>
    <row r="18" spans="1:15" ht="24">
      <c r="A18" s="38" t="s">
        <v>13</v>
      </c>
      <c r="B18" s="67"/>
      <c r="C18" s="25">
        <v>49356.20000000001</v>
      </c>
      <c r="D18" s="25">
        <v>0</v>
      </c>
      <c r="E18" s="61">
        <f aca="true" t="shared" si="4" ref="E18:E27">SUM(C18:D18)</f>
        <v>49356.20000000001</v>
      </c>
      <c r="F18" s="25">
        <f>'[1]TDSheet'!$J$28+'[4]TDSheet'!$G$26</f>
        <v>312369.68</v>
      </c>
      <c r="G18" s="25"/>
      <c r="H18" s="63">
        <f t="shared" si="3"/>
        <v>312369.68</v>
      </c>
      <c r="I18" s="25">
        <f>'[2]TDSheet'!$P$28</f>
        <v>311480.91</v>
      </c>
      <c r="J18" s="26"/>
      <c r="K18" s="63">
        <f t="shared" si="0"/>
        <v>311480.91</v>
      </c>
      <c r="L18" s="25">
        <f t="shared" si="1"/>
        <v>50244.97000000003</v>
      </c>
      <c r="M18" s="25">
        <f t="shared" si="1"/>
        <v>0</v>
      </c>
      <c r="N18" s="61">
        <f t="shared" si="2"/>
        <v>50244.97000000003</v>
      </c>
      <c r="O18" s="56">
        <v>272931.13</v>
      </c>
    </row>
    <row r="19" spans="1:15" ht="24" outlineLevel="1">
      <c r="A19" s="38" t="s">
        <v>15</v>
      </c>
      <c r="B19" s="67"/>
      <c r="C19" s="25">
        <v>-718.83</v>
      </c>
      <c r="D19" s="25">
        <v>0</v>
      </c>
      <c r="E19" s="61">
        <f t="shared" si="4"/>
        <v>-718.83</v>
      </c>
      <c r="F19" s="25"/>
      <c r="G19" s="25"/>
      <c r="H19" s="63">
        <f t="shared" si="3"/>
        <v>0</v>
      </c>
      <c r="I19" s="25">
        <f>'[2]TDSheet'!$C$28</f>
        <v>23.35</v>
      </c>
      <c r="J19" s="26"/>
      <c r="K19" s="63">
        <f t="shared" si="0"/>
        <v>23.35</v>
      </c>
      <c r="L19" s="25">
        <f t="shared" si="1"/>
        <v>-742.1800000000001</v>
      </c>
      <c r="M19" s="25">
        <f t="shared" si="1"/>
        <v>0</v>
      </c>
      <c r="N19" s="61">
        <f t="shared" si="2"/>
        <v>-742.1800000000001</v>
      </c>
      <c r="O19" s="56"/>
    </row>
    <row r="20" spans="1:15" ht="36">
      <c r="A20" s="38" t="s">
        <v>8</v>
      </c>
      <c r="B20" s="67"/>
      <c r="C20" s="25">
        <v>183813.0399999998</v>
      </c>
      <c r="D20" s="25">
        <v>19750.51000000001</v>
      </c>
      <c r="E20" s="61">
        <f t="shared" si="4"/>
        <v>203563.5499999998</v>
      </c>
      <c r="F20" s="25">
        <f>'[1]TDSheet'!$H$28</f>
        <v>1036406.79</v>
      </c>
      <c r="G20" s="25">
        <f>'[17]начисление НЖП'!$B$24+'[17]начисление НЖП'!$K$24</f>
        <v>147353.50764751196</v>
      </c>
      <c r="H20" s="63">
        <f t="shared" si="3"/>
        <v>1183760.297647512</v>
      </c>
      <c r="I20" s="25">
        <f>'[2]TDSheet'!$N$28+'[2]TDSheet'!$E$28+'[2]TDSheet'!$D$28</f>
        <v>1032179.75</v>
      </c>
      <c r="J20" s="26">
        <f>'[17]начисление НЖП'!$C$24+'[17]начисление НЖП'!$L$24</f>
        <v>147163.19692001198</v>
      </c>
      <c r="K20" s="63">
        <f t="shared" si="0"/>
        <v>1179342.946920012</v>
      </c>
      <c r="L20" s="25">
        <f t="shared" si="1"/>
        <v>188040.07999999984</v>
      </c>
      <c r="M20" s="25">
        <f t="shared" si="1"/>
        <v>19940.820727499988</v>
      </c>
      <c r="N20" s="61">
        <f t="shared" si="2"/>
        <v>207980.90072749983</v>
      </c>
      <c r="O20" s="56">
        <f>2019458.26-O14-O15-O16-O17-O18-O19-O21-O22-O23-O24-O25-O26-O27</f>
        <v>1573135.4500000002</v>
      </c>
    </row>
    <row r="21" spans="1:15" ht="12.75">
      <c r="A21" s="38" t="s">
        <v>10</v>
      </c>
      <c r="B21" s="67"/>
      <c r="C21" s="25">
        <v>1724.49</v>
      </c>
      <c r="D21" s="25">
        <v>16368.89</v>
      </c>
      <c r="E21" s="61">
        <f t="shared" si="4"/>
        <v>18093.38</v>
      </c>
      <c r="F21" s="25"/>
      <c r="G21" s="25">
        <f>'[17]коммунНЖП'!$E$162</f>
        <v>114084.97</v>
      </c>
      <c r="H21" s="63">
        <f t="shared" si="3"/>
        <v>114084.97</v>
      </c>
      <c r="I21" s="25"/>
      <c r="J21" s="26">
        <f>'[17]коммунНЖП'!$F$162</f>
        <v>126713.10999999999</v>
      </c>
      <c r="K21" s="63">
        <f t="shared" si="0"/>
        <v>126713.10999999999</v>
      </c>
      <c r="L21" s="25">
        <f t="shared" si="1"/>
        <v>1724.49</v>
      </c>
      <c r="M21" s="25">
        <f t="shared" si="1"/>
        <v>3740.7500000000146</v>
      </c>
      <c r="N21" s="61">
        <f t="shared" si="2"/>
        <v>5465.240000000014</v>
      </c>
      <c r="O21" s="56">
        <v>117645.79</v>
      </c>
    </row>
    <row r="22" spans="1:15" ht="48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48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24" collapsed="1">
      <c r="A24" s="38" t="s">
        <v>25</v>
      </c>
      <c r="B24" s="67"/>
      <c r="C24" s="25">
        <v>1650.8900000000003</v>
      </c>
      <c r="D24" s="25">
        <v>0</v>
      </c>
      <c r="E24" s="61">
        <f t="shared" si="4"/>
        <v>1650.8900000000003</v>
      </c>
      <c r="F24" s="25">
        <f>'[1]TDSheet'!$L$28</f>
        <v>17652.01</v>
      </c>
      <c r="G24" s="25"/>
      <c r="H24" s="63">
        <f t="shared" si="3"/>
        <v>17652.01</v>
      </c>
      <c r="I24" s="25">
        <f>'[2]TDSheet'!$S$28</f>
        <v>17297.31</v>
      </c>
      <c r="J24" s="26"/>
      <c r="K24" s="63">
        <f t="shared" si="0"/>
        <v>17297.31</v>
      </c>
      <c r="L24" s="25">
        <f t="shared" si="1"/>
        <v>2005.5899999999965</v>
      </c>
      <c r="M24" s="25">
        <f t="shared" si="1"/>
        <v>0</v>
      </c>
      <c r="N24" s="61">
        <f t="shared" si="2"/>
        <v>2005.5899999999965</v>
      </c>
      <c r="O24" s="56"/>
    </row>
    <row r="25" spans="1:15" ht="12.75">
      <c r="A25" s="38" t="s">
        <v>18</v>
      </c>
      <c r="B25" s="67"/>
      <c r="C25" s="25">
        <v>28.910000000000082</v>
      </c>
      <c r="D25" s="25">
        <v>0</v>
      </c>
      <c r="E25" s="61">
        <f t="shared" si="4"/>
        <v>28.910000000000082</v>
      </c>
      <c r="F25" s="25">
        <f>'[1]TDSheet'!$F$28</f>
        <v>0</v>
      </c>
      <c r="G25" s="25"/>
      <c r="H25" s="63">
        <f t="shared" si="3"/>
        <v>0</v>
      </c>
      <c r="I25" s="25">
        <f>'[2]TDSheet'!$I$28</f>
        <v>28.91</v>
      </c>
      <c r="J25" s="26"/>
      <c r="K25" s="63">
        <f t="shared" si="0"/>
        <v>28.91</v>
      </c>
      <c r="L25" s="25">
        <f t="shared" si="1"/>
        <v>8.171241461241152E-14</v>
      </c>
      <c r="M25" s="25">
        <f t="shared" si="1"/>
        <v>0</v>
      </c>
      <c r="N25" s="61">
        <f t="shared" si="2"/>
        <v>8.171241461241152E-14</v>
      </c>
      <c r="O25" s="56">
        <v>0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24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244343.90999999983</v>
      </c>
      <c r="D28" s="42">
        <f>SUM(D14:D27)</f>
        <v>36119.40000000001</v>
      </c>
      <c r="E28" s="62">
        <f>SUM(C28:D28)</f>
        <v>280463.3099999998</v>
      </c>
      <c r="F28" s="43">
        <f>SUM(F14:F27)</f>
        <v>1421779.1500000001</v>
      </c>
      <c r="G28" s="42">
        <f>SUM(G14:G27)</f>
        <v>261438.47764751196</v>
      </c>
      <c r="H28" s="64">
        <f>F28+G28</f>
        <v>1683217.6276475121</v>
      </c>
      <c r="I28" s="43">
        <f>SUM(I14:I27)</f>
        <v>1415844.57</v>
      </c>
      <c r="J28" s="45">
        <f>SUM(J14:J27)</f>
        <v>273876.306920012</v>
      </c>
      <c r="K28" s="64">
        <f>I28+J28</f>
        <v>1689720.876920012</v>
      </c>
      <c r="L28" s="46">
        <f>SUM(L14:L27)</f>
        <v>250278.48999999987</v>
      </c>
      <c r="M28" s="44">
        <f>SUM(M14:M27)</f>
        <v>23681.570727500002</v>
      </c>
      <c r="N28" s="62">
        <f>L28+M28</f>
        <v>273960.0607274999</v>
      </c>
      <c r="O28" s="57">
        <f>SUM(O14:O27)</f>
        <v>2019458.2600000002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660393.9899999999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467.93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647.98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441.18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648034.59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1334.71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1.38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9466.22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54" t="s">
        <v>44</v>
      </c>
      <c r="B45" s="50"/>
      <c r="C45" s="50"/>
      <c r="D45" s="50"/>
      <c r="E45" s="50"/>
      <c r="F45" s="55" t="e">
        <f>SUM(#REF!)</f>
        <v>#REF!</v>
      </c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874015748031497" bottom="0.984251968503937" header="0.35433070866141736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2"/>
  <sheetViews>
    <sheetView zoomScalePageLayoutView="0" workbookViewId="0" topLeftCell="A20">
      <selection activeCell="Q9" sqref="Q9:Q10"/>
    </sheetView>
  </sheetViews>
  <sheetFormatPr defaultColWidth="9.00390625" defaultRowHeight="12.75" outlineLevelRow="2" outlineLevelCol="1"/>
  <cols>
    <col min="1" max="1" width="27.375" style="0" customWidth="1"/>
    <col min="2" max="2" width="9.375" style="0" hidden="1" customWidth="1" outlineLevel="1"/>
    <col min="3" max="3" width="10.125" style="0" bestFit="1" customWidth="1" collapsed="1"/>
    <col min="6" max="6" width="11.75390625" style="0" bestFit="1" customWidth="1"/>
    <col min="9" max="9" width="11.75390625" style="0" bestFit="1" customWidth="1"/>
    <col min="12" max="12" width="10.125" style="0" bestFit="1" customWidth="1"/>
  </cols>
  <sheetData>
    <row r="1" spans="1:15" ht="15.75">
      <c r="A1" s="109" t="s">
        <v>29</v>
      </c>
      <c r="B1" s="109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1"/>
      <c r="N1" s="11"/>
      <c r="O1" s="12"/>
    </row>
    <row r="2" spans="1:15" ht="15.75">
      <c r="A2" s="34"/>
      <c r="B2" s="3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2.75">
      <c r="A3" s="114" t="s">
        <v>80</v>
      </c>
      <c r="B3" s="114"/>
      <c r="C3" s="115"/>
      <c r="D3" s="115"/>
      <c r="E3" s="115"/>
      <c r="F3" s="116"/>
      <c r="G3" s="116"/>
      <c r="H3" s="116"/>
      <c r="I3" s="13"/>
      <c r="J3" s="13"/>
      <c r="K3" s="13"/>
      <c r="L3" s="13"/>
      <c r="M3" s="13"/>
      <c r="N3" s="13"/>
      <c r="O3" s="14"/>
    </row>
    <row r="4" spans="1:15" ht="12.75" customHeight="1">
      <c r="A4" s="97" t="s">
        <v>0</v>
      </c>
      <c r="B4" s="97"/>
      <c r="C4" s="98"/>
      <c r="D4" s="99"/>
      <c r="E4" s="12"/>
      <c r="F4" s="16">
        <v>110</v>
      </c>
      <c r="G4" s="11"/>
      <c r="H4" s="11"/>
      <c r="I4" s="11"/>
      <c r="J4" s="11"/>
      <c r="K4" s="11"/>
      <c r="L4" s="11"/>
      <c r="M4" s="11"/>
      <c r="N4" s="11"/>
      <c r="O4" s="12"/>
    </row>
    <row r="5" spans="1:15" ht="12.75" customHeight="1">
      <c r="A5" s="113" t="s">
        <v>20</v>
      </c>
      <c r="B5" s="113"/>
      <c r="C5" s="99"/>
      <c r="D5" s="11"/>
      <c r="E5" s="12"/>
      <c r="F5" s="16">
        <v>7895.9</v>
      </c>
      <c r="G5" s="15"/>
      <c r="H5" s="15"/>
      <c r="I5" s="15"/>
      <c r="J5" s="15"/>
      <c r="K5" s="11"/>
      <c r="L5" s="11"/>
      <c r="M5" s="11"/>
      <c r="N5" s="11"/>
      <c r="O5" s="12"/>
    </row>
    <row r="6" spans="1:15" ht="12.75" customHeight="1">
      <c r="A6" s="97" t="s">
        <v>21</v>
      </c>
      <c r="B6" s="97"/>
      <c r="C6" s="98"/>
      <c r="D6" s="98"/>
      <c r="E6" s="12"/>
      <c r="F6" s="16"/>
      <c r="G6" s="15"/>
      <c r="H6" s="12"/>
      <c r="I6" s="15"/>
      <c r="J6" s="15"/>
      <c r="K6" s="11"/>
      <c r="L6" s="11"/>
      <c r="M6" s="11"/>
      <c r="N6" s="11"/>
      <c r="O6" s="12"/>
    </row>
    <row r="7" spans="1:15" ht="12.75">
      <c r="A7" s="97" t="s">
        <v>22</v>
      </c>
      <c r="B7" s="97"/>
      <c r="C7" s="98"/>
      <c r="D7" s="98"/>
      <c r="E7" s="12"/>
      <c r="F7" s="16">
        <f>F6+F5</f>
        <v>7895.9</v>
      </c>
      <c r="G7" s="15"/>
      <c r="H7" s="15"/>
      <c r="I7" s="15"/>
      <c r="J7" s="15"/>
      <c r="K7" s="11"/>
      <c r="L7" s="11"/>
      <c r="M7" s="11"/>
      <c r="N7" s="11"/>
      <c r="O7" s="12"/>
    </row>
    <row r="8" spans="1:15" ht="12.75" customHeight="1">
      <c r="A8" s="97" t="s">
        <v>1</v>
      </c>
      <c r="B8" s="97"/>
      <c r="C8" s="98"/>
      <c r="D8" s="98"/>
      <c r="E8" s="99"/>
      <c r="F8" s="16">
        <v>219</v>
      </c>
      <c r="G8" s="15"/>
      <c r="H8" s="15"/>
      <c r="I8" s="15"/>
      <c r="J8" s="15"/>
      <c r="K8" s="11"/>
      <c r="L8" s="11"/>
      <c r="M8" s="11"/>
      <c r="N8" s="11"/>
      <c r="O8" s="12"/>
    </row>
    <row r="9" spans="1:15" ht="12.75" customHeight="1">
      <c r="A9" s="100" t="s">
        <v>23</v>
      </c>
      <c r="B9" s="100"/>
      <c r="C9" s="99"/>
      <c r="D9" s="99"/>
      <c r="E9" s="99"/>
      <c r="F9" s="16">
        <v>705.1</v>
      </c>
      <c r="G9" s="15"/>
      <c r="H9" s="15"/>
      <c r="I9" s="15"/>
      <c r="J9" s="15"/>
      <c r="K9" s="11"/>
      <c r="L9" s="11"/>
      <c r="M9" s="11"/>
      <c r="N9" s="11"/>
      <c r="O9" s="12"/>
    </row>
    <row r="10" spans="1:15" ht="15">
      <c r="A10" s="101" t="s">
        <v>2</v>
      </c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35"/>
      <c r="M10" s="102"/>
      <c r="N10" s="102"/>
      <c r="O10" s="12"/>
    </row>
    <row r="11" spans="1:1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5.25" customHeight="1">
      <c r="A12" s="103" t="s">
        <v>3</v>
      </c>
      <c r="B12" s="96"/>
      <c r="C12" s="105" t="s">
        <v>28</v>
      </c>
      <c r="D12" s="106"/>
      <c r="E12" s="106"/>
      <c r="F12" s="107" t="s">
        <v>30</v>
      </c>
      <c r="G12" s="107"/>
      <c r="H12" s="107"/>
      <c r="I12" s="106" t="s">
        <v>83</v>
      </c>
      <c r="J12" s="106"/>
      <c r="K12" s="106"/>
      <c r="L12" s="104" t="s">
        <v>31</v>
      </c>
      <c r="M12" s="104"/>
      <c r="N12" s="104"/>
      <c r="O12" s="108" t="s">
        <v>4</v>
      </c>
    </row>
    <row r="13" spans="1:15" ht="64.5" customHeight="1">
      <c r="A13" s="104"/>
      <c r="B13" s="96"/>
      <c r="C13" s="36" t="s">
        <v>5</v>
      </c>
      <c r="D13" s="37" t="s">
        <v>6</v>
      </c>
      <c r="E13" s="60" t="s">
        <v>7</v>
      </c>
      <c r="F13" s="36" t="s">
        <v>5</v>
      </c>
      <c r="G13" s="37" t="s">
        <v>6</v>
      </c>
      <c r="H13" s="60" t="s">
        <v>7</v>
      </c>
      <c r="I13" s="36" t="s">
        <v>5</v>
      </c>
      <c r="J13" s="37" t="s">
        <v>6</v>
      </c>
      <c r="K13" s="60" t="s">
        <v>7</v>
      </c>
      <c r="L13" s="36" t="s">
        <v>5</v>
      </c>
      <c r="M13" s="37" t="s">
        <v>6</v>
      </c>
      <c r="N13" s="60" t="s">
        <v>7</v>
      </c>
      <c r="O13" s="108"/>
    </row>
    <row r="14" spans="1:15" ht="12.75">
      <c r="A14" s="38"/>
      <c r="B14" s="67"/>
      <c r="C14" s="25"/>
      <c r="D14" s="25"/>
      <c r="E14" s="61"/>
      <c r="F14" s="25"/>
      <c r="G14" s="25"/>
      <c r="H14" s="63"/>
      <c r="I14" s="25"/>
      <c r="J14" s="26"/>
      <c r="K14" s="63"/>
      <c r="L14" s="25"/>
      <c r="M14" s="25"/>
      <c r="N14" s="61"/>
      <c r="O14" s="58"/>
    </row>
    <row r="15" spans="1:15" ht="12.75" customHeight="1" hidden="1" outlineLevel="1">
      <c r="A15" s="38" t="s">
        <v>26</v>
      </c>
      <c r="B15" s="67"/>
      <c r="C15" s="25">
        <v>0</v>
      </c>
      <c r="D15" s="25">
        <v>0</v>
      </c>
      <c r="E15" s="61">
        <f>SUM(C15:D15)</f>
        <v>0</v>
      </c>
      <c r="F15" s="25"/>
      <c r="G15" s="25"/>
      <c r="H15" s="63">
        <f>F15+G15</f>
        <v>0</v>
      </c>
      <c r="I15" s="25"/>
      <c r="J15" s="26"/>
      <c r="K15" s="63">
        <f aca="true" t="shared" si="0" ref="K15:K27">I15+J15</f>
        <v>0</v>
      </c>
      <c r="L15" s="25">
        <f aca="true" t="shared" si="1" ref="L15:M27">C15+F15-I15</f>
        <v>0</v>
      </c>
      <c r="M15" s="25">
        <f t="shared" si="1"/>
        <v>0</v>
      </c>
      <c r="N15" s="61">
        <f aca="true" t="shared" si="2" ref="N15:N27">L15+M15</f>
        <v>0</v>
      </c>
      <c r="O15" s="56"/>
    </row>
    <row r="16" spans="1:15" ht="24" customHeight="1" hidden="1" outlineLevel="1">
      <c r="A16" s="39" t="s">
        <v>9</v>
      </c>
      <c r="B16" s="67"/>
      <c r="C16" s="25">
        <v>0</v>
      </c>
      <c r="D16" s="25">
        <v>0</v>
      </c>
      <c r="E16" s="61">
        <f>SUM(C16:D16)</f>
        <v>0</v>
      </c>
      <c r="F16" s="25"/>
      <c r="G16" s="25"/>
      <c r="H16" s="63">
        <f>F16+G16</f>
        <v>0</v>
      </c>
      <c r="I16" s="25"/>
      <c r="J16" s="26"/>
      <c r="K16" s="63">
        <f t="shared" si="0"/>
        <v>0</v>
      </c>
      <c r="L16" s="25">
        <f t="shared" si="1"/>
        <v>0</v>
      </c>
      <c r="M16" s="25">
        <f t="shared" si="1"/>
        <v>0</v>
      </c>
      <c r="N16" s="61">
        <f t="shared" si="2"/>
        <v>0</v>
      </c>
      <c r="O16" s="56"/>
    </row>
    <row r="17" spans="1:15" ht="12.75" collapsed="1">
      <c r="A17" s="39" t="s">
        <v>16</v>
      </c>
      <c r="B17" s="67"/>
      <c r="C17" s="25">
        <v>11005.270000000004</v>
      </c>
      <c r="D17" s="25">
        <v>0</v>
      </c>
      <c r="E17" s="61">
        <f>SUM(C17:D17)</f>
        <v>11005.270000000004</v>
      </c>
      <c r="F17" s="40">
        <f>'[1]TDSheet'!$G$32+'[3]TDSheet'!$G$28</f>
        <v>63576.780000000006</v>
      </c>
      <c r="G17" s="25"/>
      <c r="H17" s="63">
        <f aca="true" t="shared" si="3" ref="H17:H27">F17+G17</f>
        <v>63576.780000000006</v>
      </c>
      <c r="I17" s="25">
        <f>'[2]TDSheet'!$K$13</f>
        <v>60073.53</v>
      </c>
      <c r="J17" s="26"/>
      <c r="K17" s="63">
        <f t="shared" si="0"/>
        <v>60073.53</v>
      </c>
      <c r="L17" s="25">
        <f t="shared" si="1"/>
        <v>14508.520000000019</v>
      </c>
      <c r="M17" s="25">
        <f t="shared" si="1"/>
        <v>0</v>
      </c>
      <c r="N17" s="61">
        <f t="shared" si="2"/>
        <v>14508.520000000019</v>
      </c>
      <c r="O17" s="56">
        <v>63587.4</v>
      </c>
    </row>
    <row r="18" spans="1:15" ht="12.75">
      <c r="A18" s="38" t="s">
        <v>13</v>
      </c>
      <c r="B18" s="67"/>
      <c r="C18" s="25">
        <v>59560.07000000001</v>
      </c>
      <c r="D18" s="25">
        <v>0</v>
      </c>
      <c r="E18" s="61">
        <f aca="true" t="shared" si="4" ref="E18:E27">SUM(C18:D18)</f>
        <v>59560.07000000001</v>
      </c>
      <c r="F18" s="25">
        <f>'[1]TDSheet'!$J$32+'[4]TDSheet'!$G$30</f>
        <v>345048.06</v>
      </c>
      <c r="G18" s="25"/>
      <c r="H18" s="63">
        <f t="shared" si="3"/>
        <v>345048.06</v>
      </c>
      <c r="I18" s="25">
        <f>'[2]TDSheet'!$P$13</f>
        <v>332336.8</v>
      </c>
      <c r="J18" s="26"/>
      <c r="K18" s="63">
        <f t="shared" si="0"/>
        <v>332336.8</v>
      </c>
      <c r="L18" s="25">
        <f t="shared" si="1"/>
        <v>72271.33000000002</v>
      </c>
      <c r="M18" s="25">
        <f t="shared" si="1"/>
        <v>0</v>
      </c>
      <c r="N18" s="61">
        <f t="shared" si="2"/>
        <v>72271.33000000002</v>
      </c>
      <c r="O18" s="56">
        <v>267655</v>
      </c>
    </row>
    <row r="19" spans="1:15" ht="12.75" outlineLevel="1">
      <c r="A19" s="38" t="s">
        <v>15</v>
      </c>
      <c r="B19" s="67"/>
      <c r="C19" s="25">
        <v>-434.63</v>
      </c>
      <c r="D19" s="25">
        <v>0</v>
      </c>
      <c r="E19" s="61">
        <f t="shared" si="4"/>
        <v>-434.63</v>
      </c>
      <c r="F19" s="25"/>
      <c r="G19" s="25"/>
      <c r="H19" s="63">
        <f t="shared" si="3"/>
        <v>0</v>
      </c>
      <c r="I19" s="25"/>
      <c r="J19" s="26"/>
      <c r="K19" s="63">
        <f t="shared" si="0"/>
        <v>0</v>
      </c>
      <c r="L19" s="25">
        <f t="shared" si="1"/>
        <v>-434.63</v>
      </c>
      <c r="M19" s="25">
        <f t="shared" si="1"/>
        <v>0</v>
      </c>
      <c r="N19" s="61">
        <f t="shared" si="2"/>
        <v>-434.63</v>
      </c>
      <c r="O19" s="56"/>
    </row>
    <row r="20" spans="1:15" ht="24">
      <c r="A20" s="38" t="s">
        <v>8</v>
      </c>
      <c r="B20" s="67"/>
      <c r="C20" s="25">
        <v>199408.40000000014</v>
      </c>
      <c r="D20" s="25">
        <v>-278.10000000000014</v>
      </c>
      <c r="E20" s="61">
        <f t="shared" si="4"/>
        <v>199130.30000000013</v>
      </c>
      <c r="F20" s="25">
        <f>'[1]TDSheet'!$H$32+'[6]TDSheet'!$G$32</f>
        <v>1167945.46</v>
      </c>
      <c r="G20" s="25">
        <f>'[17]начисление НЖП'!$K$28</f>
        <v>17523.286938664827</v>
      </c>
      <c r="H20" s="63">
        <f t="shared" si="3"/>
        <v>1185468.7469386647</v>
      </c>
      <c r="I20" s="25">
        <f>'[2]TDSheet'!$D$13+'[2]TDSheet'!$E$13+'[2]TDSheet'!$N$13</f>
        <v>1131074.68</v>
      </c>
      <c r="J20" s="26">
        <f>'[17]начисление НЖП'!$L$28</f>
        <v>15723.859790030707</v>
      </c>
      <c r="K20" s="63">
        <f t="shared" si="0"/>
        <v>1146798.5397900306</v>
      </c>
      <c r="L20" s="25">
        <f t="shared" si="1"/>
        <v>236279.18000000017</v>
      </c>
      <c r="M20" s="25">
        <f t="shared" si="1"/>
        <v>1521.3271486341218</v>
      </c>
      <c r="N20" s="61">
        <f t="shared" si="2"/>
        <v>237800.5071486343</v>
      </c>
      <c r="O20" s="56">
        <f>1157018.21-O14-O15-O16-O17-O18-O19-O21-O22-O23-O24-O25-O26-O27</f>
        <v>822190.6900000001</v>
      </c>
    </row>
    <row r="21" spans="1:15" ht="12.75">
      <c r="A21" s="38" t="s">
        <v>10</v>
      </c>
      <c r="B21" s="67"/>
      <c r="C21" s="25">
        <v>2005.5800000000002</v>
      </c>
      <c r="D21" s="25">
        <v>0</v>
      </c>
      <c r="E21" s="61">
        <f t="shared" si="4"/>
        <v>2005.5800000000002</v>
      </c>
      <c r="F21" s="25"/>
      <c r="G21" s="25"/>
      <c r="H21" s="63">
        <f t="shared" si="3"/>
        <v>0</v>
      </c>
      <c r="I21" s="25">
        <f>'[2]TDSheet'!$Q$13</f>
        <v>194.55</v>
      </c>
      <c r="J21" s="26"/>
      <c r="K21" s="63">
        <f t="shared" si="0"/>
        <v>194.55</v>
      </c>
      <c r="L21" s="25">
        <f t="shared" si="1"/>
        <v>1811.0300000000002</v>
      </c>
      <c r="M21" s="25">
        <f t="shared" si="1"/>
        <v>0</v>
      </c>
      <c r="N21" s="61">
        <f t="shared" si="2"/>
        <v>1811.0300000000002</v>
      </c>
      <c r="O21" s="56">
        <v>154.9</v>
      </c>
    </row>
    <row r="22" spans="1:15" ht="24" customHeight="1" hidden="1" outlineLevel="1">
      <c r="A22" s="38" t="s">
        <v>19</v>
      </c>
      <c r="B22" s="67"/>
      <c r="C22" s="25">
        <v>0</v>
      </c>
      <c r="D22" s="25">
        <v>0</v>
      </c>
      <c r="E22" s="61">
        <f t="shared" si="4"/>
        <v>0</v>
      </c>
      <c r="F22" s="25"/>
      <c r="G22" s="25"/>
      <c r="H22" s="63">
        <f t="shared" si="3"/>
        <v>0</v>
      </c>
      <c r="I22" s="25"/>
      <c r="J22" s="26"/>
      <c r="K22" s="63">
        <f t="shared" si="0"/>
        <v>0</v>
      </c>
      <c r="L22" s="25">
        <f t="shared" si="1"/>
        <v>0</v>
      </c>
      <c r="M22" s="25">
        <f t="shared" si="1"/>
        <v>0</v>
      </c>
      <c r="N22" s="61">
        <f t="shared" si="2"/>
        <v>0</v>
      </c>
      <c r="O22" s="56"/>
    </row>
    <row r="23" spans="1:15" ht="24" customHeight="1" hidden="1" outlineLevel="1">
      <c r="A23" s="38" t="s">
        <v>17</v>
      </c>
      <c r="B23" s="67"/>
      <c r="C23" s="25">
        <v>0</v>
      </c>
      <c r="D23" s="25">
        <v>0</v>
      </c>
      <c r="E23" s="61">
        <f t="shared" si="4"/>
        <v>0</v>
      </c>
      <c r="F23" s="25"/>
      <c r="G23" s="25"/>
      <c r="H23" s="63">
        <f t="shared" si="3"/>
        <v>0</v>
      </c>
      <c r="I23" s="25"/>
      <c r="J23" s="26"/>
      <c r="K23" s="63">
        <f t="shared" si="0"/>
        <v>0</v>
      </c>
      <c r="L23" s="25">
        <f t="shared" si="1"/>
        <v>0</v>
      </c>
      <c r="M23" s="25">
        <f t="shared" si="1"/>
        <v>0</v>
      </c>
      <c r="N23" s="61">
        <f t="shared" si="2"/>
        <v>0</v>
      </c>
      <c r="O23" s="56"/>
    </row>
    <row r="24" spans="1:15" ht="12.75" collapsed="1">
      <c r="A24" s="38" t="s">
        <v>25</v>
      </c>
      <c r="B24" s="67"/>
      <c r="C24" s="25">
        <v>2271.9400000000005</v>
      </c>
      <c r="D24" s="25">
        <v>0</v>
      </c>
      <c r="E24" s="61">
        <f t="shared" si="4"/>
        <v>2271.9400000000005</v>
      </c>
      <c r="F24" s="25">
        <f>'[1]TDSheet'!$L$32+'[7]TDSheet'!$G$30</f>
        <v>19906.62</v>
      </c>
      <c r="G24" s="25"/>
      <c r="H24" s="63">
        <f t="shared" si="3"/>
        <v>19906.62</v>
      </c>
      <c r="I24" s="25">
        <f>'[2]TDSheet'!$S$13</f>
        <v>18955.24</v>
      </c>
      <c r="J24" s="26"/>
      <c r="K24" s="63">
        <f t="shared" si="0"/>
        <v>18955.24</v>
      </c>
      <c r="L24" s="25">
        <f t="shared" si="1"/>
        <v>3223.319999999996</v>
      </c>
      <c r="M24" s="25">
        <f t="shared" si="1"/>
        <v>0</v>
      </c>
      <c r="N24" s="61">
        <f t="shared" si="2"/>
        <v>3223.319999999996</v>
      </c>
      <c r="O24" s="56"/>
    </row>
    <row r="25" spans="1:15" ht="12.75">
      <c r="A25" s="38" t="s">
        <v>18</v>
      </c>
      <c r="B25" s="67"/>
      <c r="C25" s="25">
        <v>0</v>
      </c>
      <c r="D25" s="25">
        <v>0</v>
      </c>
      <c r="E25" s="61">
        <f t="shared" si="4"/>
        <v>0</v>
      </c>
      <c r="F25" s="25">
        <f>'[1]TDSheet'!$F$32</f>
        <v>3430.22</v>
      </c>
      <c r="G25" s="25"/>
      <c r="H25" s="63">
        <f t="shared" si="3"/>
        <v>3430.22</v>
      </c>
      <c r="I25" s="25">
        <f>'[2]TDSheet'!$I$13</f>
        <v>3430.22</v>
      </c>
      <c r="J25" s="26"/>
      <c r="K25" s="63">
        <f t="shared" si="0"/>
        <v>3430.22</v>
      </c>
      <c r="L25" s="25">
        <f t="shared" si="1"/>
        <v>0</v>
      </c>
      <c r="M25" s="25">
        <f t="shared" si="1"/>
        <v>0</v>
      </c>
      <c r="N25" s="61">
        <f t="shared" si="2"/>
        <v>0</v>
      </c>
      <c r="O25" s="56">
        <v>3430.22</v>
      </c>
    </row>
    <row r="26" spans="1:15" ht="12.75" customHeight="1" hidden="1" outlineLevel="1">
      <c r="A26" s="38" t="s">
        <v>27</v>
      </c>
      <c r="B26" s="67"/>
      <c r="C26" s="25"/>
      <c r="D26" s="25"/>
      <c r="E26" s="61">
        <f t="shared" si="4"/>
        <v>0</v>
      </c>
      <c r="F26" s="25"/>
      <c r="G26" s="25"/>
      <c r="H26" s="63">
        <f t="shared" si="3"/>
        <v>0</v>
      </c>
      <c r="I26" s="25"/>
      <c r="J26" s="26"/>
      <c r="K26" s="63">
        <f t="shared" si="0"/>
        <v>0</v>
      </c>
      <c r="L26" s="25">
        <f t="shared" si="1"/>
        <v>0</v>
      </c>
      <c r="M26" s="25">
        <f t="shared" si="1"/>
        <v>0</v>
      </c>
      <c r="N26" s="61">
        <f t="shared" si="2"/>
        <v>0</v>
      </c>
      <c r="O26" s="56"/>
    </row>
    <row r="27" spans="1:15" ht="12.75" customHeight="1" hidden="1" outlineLevel="1">
      <c r="A27" s="38" t="s">
        <v>11</v>
      </c>
      <c r="B27" s="67"/>
      <c r="C27" s="25"/>
      <c r="D27" s="25"/>
      <c r="E27" s="61">
        <f t="shared" si="4"/>
        <v>0</v>
      </c>
      <c r="F27" s="25"/>
      <c r="G27" s="25"/>
      <c r="H27" s="63">
        <f t="shared" si="3"/>
        <v>0</v>
      </c>
      <c r="I27" s="25"/>
      <c r="J27" s="26"/>
      <c r="K27" s="63">
        <f t="shared" si="0"/>
        <v>0</v>
      </c>
      <c r="L27" s="25">
        <f t="shared" si="1"/>
        <v>0</v>
      </c>
      <c r="M27" s="25">
        <f t="shared" si="1"/>
        <v>0</v>
      </c>
      <c r="N27" s="61">
        <f t="shared" si="2"/>
        <v>0</v>
      </c>
      <c r="O27" s="56"/>
    </row>
    <row r="28" spans="1:15" ht="12.75" collapsed="1">
      <c r="A28" s="41" t="s">
        <v>12</v>
      </c>
      <c r="B28" s="68"/>
      <c r="C28" s="42">
        <f>SUM(C14:C27)</f>
        <v>273816.6300000002</v>
      </c>
      <c r="D28" s="42">
        <f>SUM(D14:D27)</f>
        <v>-278.10000000000014</v>
      </c>
      <c r="E28" s="62">
        <f>SUM(C28:D28)</f>
        <v>273538.5300000002</v>
      </c>
      <c r="F28" s="43">
        <f>SUM(F14:F27)</f>
        <v>1599907.1400000001</v>
      </c>
      <c r="G28" s="42">
        <f>SUM(G14:G27)</f>
        <v>17523.286938664827</v>
      </c>
      <c r="H28" s="64">
        <f>F28+G28</f>
        <v>1617430.4269386649</v>
      </c>
      <c r="I28" s="43">
        <f>SUM(I14:I27)</f>
        <v>1546065.0199999998</v>
      </c>
      <c r="J28" s="45">
        <f>SUM(J14:J27)</f>
        <v>15723.859790030707</v>
      </c>
      <c r="K28" s="64">
        <f>I28+J28</f>
        <v>1561788.8797900304</v>
      </c>
      <c r="L28" s="46">
        <f>SUM(L14:L27)</f>
        <v>327658.75000000023</v>
      </c>
      <c r="M28" s="44">
        <f>SUM(M14:M27)</f>
        <v>1521.3271486341218</v>
      </c>
      <c r="N28" s="62">
        <f>L28+M28</f>
        <v>329180.07714863436</v>
      </c>
      <c r="O28" s="57">
        <f>SUM(O14:O27)</f>
        <v>1157018.21</v>
      </c>
    </row>
    <row r="29" spans="1:15" ht="12.75">
      <c r="A29" s="12"/>
      <c r="B29" s="12"/>
      <c r="C29" s="12"/>
      <c r="D29" s="12"/>
      <c r="E29" s="12"/>
      <c r="F29" s="12"/>
      <c r="G29" s="12"/>
      <c r="H29" s="27"/>
      <c r="I29" s="12"/>
      <c r="J29" s="12"/>
      <c r="K29" s="27"/>
      <c r="L29" s="12"/>
      <c r="M29" s="12"/>
      <c r="N29" s="12"/>
      <c r="O29" s="12"/>
    </row>
    <row r="30" spans="1:15" ht="12.75">
      <c r="A30" s="48" t="s">
        <v>45</v>
      </c>
      <c r="B30" s="49"/>
      <c r="C30" s="49"/>
      <c r="D30" s="49"/>
      <c r="E30" s="49"/>
      <c r="F30" s="49"/>
      <c r="G30" s="12"/>
      <c r="H30" s="12"/>
      <c r="I30" s="12"/>
      <c r="J30" s="12"/>
      <c r="K30" s="12"/>
      <c r="L30" s="47"/>
      <c r="M30" s="12"/>
      <c r="N30" s="12"/>
      <c r="O30" s="12"/>
    </row>
    <row r="31" spans="1:15" ht="12.75">
      <c r="A31" s="54" t="s">
        <v>34</v>
      </c>
      <c r="B31" s="50"/>
      <c r="C31" s="50"/>
      <c r="D31" s="50"/>
      <c r="E31" s="50"/>
      <c r="F31" s="55">
        <f>SUM(F32:F40)</f>
        <v>3294.42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52" t="s">
        <v>39</v>
      </c>
      <c r="B32" s="12"/>
      <c r="C32" s="12"/>
      <c r="D32" s="12"/>
      <c r="E32" s="12"/>
      <c r="F32" s="53">
        <v>788.5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52" t="s">
        <v>35</v>
      </c>
      <c r="B33" s="12"/>
      <c r="C33" s="12"/>
      <c r="D33" s="12"/>
      <c r="E33" s="12"/>
      <c r="F33" s="53">
        <v>653.37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52" t="s">
        <v>36</v>
      </c>
      <c r="B34" s="12"/>
      <c r="C34" s="12"/>
      <c r="D34" s="12"/>
      <c r="E34" s="12"/>
      <c r="F34" s="53">
        <v>444.71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52" t="s">
        <v>43</v>
      </c>
      <c r="B35" s="12"/>
      <c r="C35" s="12"/>
      <c r="D35" s="12"/>
      <c r="E35" s="12"/>
      <c r="F35" s="53">
        <v>44.47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52" t="s">
        <v>37</v>
      </c>
      <c r="B36" s="12"/>
      <c r="C36" s="12"/>
      <c r="D36" s="12"/>
      <c r="E36" s="12"/>
      <c r="F36" s="53">
        <v>1345.62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2" t="s">
        <v>42</v>
      </c>
      <c r="B37" s="12"/>
      <c r="C37" s="12"/>
      <c r="D37" s="12"/>
      <c r="E37" s="12"/>
      <c r="F37" s="53">
        <v>1.39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52" t="s">
        <v>38</v>
      </c>
      <c r="B38" s="12"/>
      <c r="C38" s="12"/>
      <c r="D38" s="12"/>
      <c r="E38" s="12"/>
      <c r="F38" s="53"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52" t="s">
        <v>40</v>
      </c>
      <c r="B39" s="12"/>
      <c r="C39" s="12"/>
      <c r="D39" s="12"/>
      <c r="E39" s="12"/>
      <c r="F39" s="53">
        <v>16.36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52" t="s">
        <v>41</v>
      </c>
      <c r="B40" s="12"/>
      <c r="C40" s="12"/>
      <c r="D40" s="12"/>
      <c r="E40" s="12"/>
      <c r="F40" s="53">
        <v>0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 hidden="1" outlineLevel="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 hidden="1" outlineLevel="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 hidden="1" outlineLevel="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hidden="1" outlineLevel="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 collapsed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</sheetData>
  <sheetProtection/>
  <mergeCells count="17">
    <mergeCell ref="L12:N12"/>
    <mergeCell ref="A1:L1"/>
    <mergeCell ref="A3:H3"/>
    <mergeCell ref="A4:D4"/>
    <mergeCell ref="A5:C5"/>
    <mergeCell ref="A6:D6"/>
    <mergeCell ref="A7:D7"/>
    <mergeCell ref="B12:B13"/>
    <mergeCell ref="O12:O13"/>
    <mergeCell ref="A8:E8"/>
    <mergeCell ref="A9:E9"/>
    <mergeCell ref="A10:K10"/>
    <mergeCell ref="M10:N10"/>
    <mergeCell ref="A12:A13"/>
    <mergeCell ref="C12:E12"/>
    <mergeCell ref="F12:H12"/>
    <mergeCell ref="I12:K12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Людмила_2</dc:creator>
  <cp:keywords/>
  <dc:description/>
  <cp:lastModifiedBy>Патласова Татьяна Геннадьевна</cp:lastModifiedBy>
  <cp:lastPrinted>2013-08-29T11:13:01Z</cp:lastPrinted>
  <dcterms:created xsi:type="dcterms:W3CDTF">2012-02-06T11:40:23Z</dcterms:created>
  <dcterms:modified xsi:type="dcterms:W3CDTF">2014-04-10T09:17:31Z</dcterms:modified>
  <cp:category/>
  <cp:version/>
  <cp:contentType/>
  <cp:contentStatus/>
</cp:coreProperties>
</file>